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cmatsuo\Desktop\TP24 Montreal\MARCOM32.3\"/>
    </mc:Choice>
  </mc:AlternateContent>
  <bookViews>
    <workbookView xWindow="0" yWindow="0" windowWidth="19200" windowHeight="7980"/>
  </bookViews>
  <sheets>
    <sheet name="Commitment sheet" sheetId="2" r:id="rId1"/>
    <sheet name="Formula and Summary" sheetId="3" r:id="rId2"/>
    <sheet name="FY2016 monetary budget" sheetId="4" r:id="rId3"/>
    <sheet name="FY2016 workload support" sheetId="5" r:id="rId4"/>
    <sheet name="2016 MARCOM Budget" sheetId="7" r:id="rId5"/>
  </sheets>
  <calcPr calcId="152511"/>
</workbook>
</file>

<file path=xl/calcChain.xml><?xml version="1.0" encoding="utf-8"?>
<calcChain xmlns="http://schemas.openxmlformats.org/spreadsheetml/2006/main">
  <c r="H29" i="7" l="1"/>
  <c r="L29" i="7" l="1"/>
  <c r="K29" i="7"/>
  <c r="J29" i="7"/>
  <c r="I29" i="7"/>
  <c r="C32" i="5"/>
  <c r="F22" i="5"/>
  <c r="D8" i="5"/>
  <c r="F8" i="5" s="1"/>
  <c r="F7" i="5"/>
  <c r="D7" i="5"/>
  <c r="D6" i="5"/>
  <c r="F6" i="5" s="1"/>
  <c r="F5" i="5"/>
  <c r="F4" i="5"/>
  <c r="D4" i="5"/>
  <c r="D3" i="5"/>
  <c r="F3" i="5" s="1"/>
  <c r="F9" i="5" s="1"/>
  <c r="F29" i="4"/>
  <c r="F30" i="4" s="1"/>
  <c r="F28" i="4"/>
  <c r="F27" i="4"/>
  <c r="D18" i="4"/>
  <c r="F18" i="4" s="1"/>
  <c r="D17" i="4"/>
  <c r="F17" i="4" s="1"/>
  <c r="F16" i="4"/>
  <c r="D15" i="4"/>
  <c r="F15" i="4" s="1"/>
  <c r="D14" i="4"/>
  <c r="F14" i="4" s="1"/>
  <c r="D13" i="4"/>
  <c r="F13" i="4" s="1"/>
  <c r="F10" i="4"/>
  <c r="C24" i="3"/>
  <c r="H22" i="3"/>
  <c r="K21" i="3"/>
  <c r="C21" i="3"/>
  <c r="P20" i="3"/>
  <c r="P19" i="3"/>
  <c r="N19" i="3"/>
  <c r="N17" i="3"/>
  <c r="N16" i="3"/>
  <c r="N15" i="3"/>
  <c r="J15" i="3"/>
  <c r="I15" i="3"/>
  <c r="H15" i="3"/>
  <c r="G15" i="3"/>
  <c r="F15" i="3"/>
  <c r="E15" i="3"/>
  <c r="D15" i="3"/>
  <c r="C15" i="3"/>
  <c r="K15" i="3" s="1"/>
  <c r="N14" i="3"/>
  <c r="N13" i="3"/>
  <c r="N12" i="3"/>
  <c r="K12" i="3"/>
  <c r="C13" i="3" s="1"/>
  <c r="N11" i="3"/>
  <c r="N10" i="3"/>
  <c r="D5" i="3"/>
  <c r="I76" i="2"/>
  <c r="I79" i="2" s="1"/>
  <c r="Q68" i="2"/>
  <c r="Q3" i="2" s="1"/>
  <c r="P68" i="2"/>
  <c r="M68" i="2"/>
  <c r="M3" i="2" s="1"/>
  <c r="M4" i="2" s="1"/>
  <c r="L68" i="2"/>
  <c r="I68" i="2"/>
  <c r="I3" i="2" s="1"/>
  <c r="H68" i="2"/>
  <c r="E68" i="2"/>
  <c r="E3" i="2" s="1"/>
  <c r="R67" i="2"/>
  <c r="R68" i="2" s="1"/>
  <c r="R3" i="2" s="1"/>
  <c r="Q67" i="2"/>
  <c r="P67" i="2"/>
  <c r="O67" i="2"/>
  <c r="O68" i="2" s="1"/>
  <c r="O3" i="2" s="1"/>
  <c r="N67" i="2"/>
  <c r="N68" i="2" s="1"/>
  <c r="N3" i="2" s="1"/>
  <c r="M67" i="2"/>
  <c r="L67" i="2"/>
  <c r="K67" i="2"/>
  <c r="K68" i="2" s="1"/>
  <c r="K3" i="2" s="1"/>
  <c r="J67" i="2"/>
  <c r="J68" i="2" s="1"/>
  <c r="J3" i="2" s="1"/>
  <c r="I67" i="2"/>
  <c r="H67" i="2"/>
  <c r="G67" i="2"/>
  <c r="G68" i="2" s="1"/>
  <c r="G3" i="2" s="1"/>
  <c r="F67" i="2"/>
  <c r="F68" i="2" s="1"/>
  <c r="F3" i="2" s="1"/>
  <c r="E67" i="2"/>
  <c r="D66" i="2"/>
  <c r="C66" i="2"/>
  <c r="C65" i="2"/>
  <c r="B65" i="2"/>
  <c r="C64" i="2"/>
  <c r="B64" i="2"/>
  <c r="D64" i="2" s="1"/>
  <c r="D63" i="2"/>
  <c r="C63" i="2"/>
  <c r="B63" i="2"/>
  <c r="D62" i="2"/>
  <c r="C62" i="2"/>
  <c r="B62" i="2"/>
  <c r="C61" i="2"/>
  <c r="B61" i="2"/>
  <c r="C60" i="2"/>
  <c r="B60" i="2"/>
  <c r="D60" i="2" s="1"/>
  <c r="D59" i="2"/>
  <c r="C59" i="2"/>
  <c r="B59" i="2"/>
  <c r="D58" i="2"/>
  <c r="C58" i="2"/>
  <c r="B58" i="2"/>
  <c r="C57" i="2"/>
  <c r="B57" i="2"/>
  <c r="C56" i="2"/>
  <c r="B56" i="2"/>
  <c r="D56" i="2" s="1"/>
  <c r="D55" i="2"/>
  <c r="C55" i="2"/>
  <c r="B55" i="2"/>
  <c r="D54" i="2"/>
  <c r="C54" i="2"/>
  <c r="C53" i="2"/>
  <c r="B53" i="2"/>
  <c r="D53" i="2" s="1"/>
  <c r="D52" i="2"/>
  <c r="C52" i="2"/>
  <c r="B52" i="2"/>
  <c r="D51" i="2"/>
  <c r="C51" i="2"/>
  <c r="B51" i="2"/>
  <c r="C50" i="2"/>
  <c r="B50" i="2"/>
  <c r="D50" i="2" s="1"/>
  <c r="C49" i="2"/>
  <c r="B49" i="2"/>
  <c r="D49" i="2" s="1"/>
  <c r="D48" i="2"/>
  <c r="C48" i="2"/>
  <c r="B48" i="2"/>
  <c r="D47" i="2"/>
  <c r="C47" i="2"/>
  <c r="B47" i="2"/>
  <c r="C46" i="2"/>
  <c r="B46" i="2"/>
  <c r="C45" i="2"/>
  <c r="B45" i="2"/>
  <c r="D45" i="2" s="1"/>
  <c r="D44" i="2"/>
  <c r="C44" i="2"/>
  <c r="B44" i="2"/>
  <c r="D43" i="2"/>
  <c r="C43" i="2"/>
  <c r="B43" i="2"/>
  <c r="C42" i="2"/>
  <c r="B42" i="2"/>
  <c r="D42" i="2" s="1"/>
  <c r="C41" i="2"/>
  <c r="B41" i="2"/>
  <c r="D41" i="2" s="1"/>
  <c r="D40" i="2"/>
  <c r="C40" i="2"/>
  <c r="C67" i="2" s="1"/>
  <c r="C68" i="2" s="1"/>
  <c r="B40" i="2"/>
  <c r="C36" i="2"/>
  <c r="B36" i="2"/>
  <c r="D36" i="2" s="1"/>
  <c r="C35" i="2"/>
  <c r="B35" i="2"/>
  <c r="D35" i="2" s="1"/>
  <c r="D34" i="2"/>
  <c r="C34" i="2"/>
  <c r="B34" i="2"/>
  <c r="D33" i="2"/>
  <c r="C33" i="2"/>
  <c r="B33" i="2"/>
  <c r="C32" i="2"/>
  <c r="B32" i="2"/>
  <c r="C31" i="2"/>
  <c r="B31" i="2"/>
  <c r="D31" i="2" s="1"/>
  <c r="D30" i="2"/>
  <c r="C30" i="2"/>
  <c r="B30" i="2"/>
  <c r="D29" i="2"/>
  <c r="C29" i="2"/>
  <c r="B29" i="2"/>
  <c r="C28" i="2"/>
  <c r="B28" i="2"/>
  <c r="B37" i="2" s="1"/>
  <c r="B25" i="2"/>
  <c r="D24" i="2"/>
  <c r="C24" i="2"/>
  <c r="B24" i="2"/>
  <c r="D23" i="2"/>
  <c r="C23" i="2"/>
  <c r="B23" i="2"/>
  <c r="C22" i="2"/>
  <c r="B22" i="2"/>
  <c r="C21" i="2"/>
  <c r="B21" i="2"/>
  <c r="D21" i="2" s="1"/>
  <c r="D20" i="2"/>
  <c r="C20" i="2"/>
  <c r="B20" i="2"/>
  <c r="D16" i="2"/>
  <c r="C15" i="2"/>
  <c r="B15" i="2"/>
  <c r="D11" i="2"/>
  <c r="C11" i="2"/>
  <c r="B11" i="2"/>
  <c r="C10" i="2"/>
  <c r="B10" i="2"/>
  <c r="C9" i="2"/>
  <c r="B9" i="2"/>
  <c r="D9" i="2" s="1"/>
  <c r="D8" i="2"/>
  <c r="C8" i="2"/>
  <c r="B8" i="2"/>
  <c r="D7" i="2"/>
  <c r="C7" i="2"/>
  <c r="B7" i="2"/>
  <c r="C6" i="2"/>
  <c r="C12" i="2" s="1"/>
  <c r="D12" i="2" s="1"/>
  <c r="B6" i="2"/>
  <c r="I4" i="2"/>
  <c r="P3" i="2"/>
  <c r="L3" i="2"/>
  <c r="L4" i="2" s="1"/>
  <c r="H3" i="2"/>
  <c r="M2" i="2"/>
  <c r="L2" i="2"/>
  <c r="K2" i="2"/>
  <c r="J2" i="2"/>
  <c r="J4" i="2" s="1"/>
  <c r="I2" i="2"/>
  <c r="G2" i="2"/>
  <c r="G4" i="2" s="1"/>
  <c r="S3" i="2" l="1"/>
  <c r="O15" i="3"/>
  <c r="P15" i="3" s="1"/>
  <c r="H14" i="3" s="1"/>
  <c r="F26" i="5"/>
  <c r="F28" i="5" s="1"/>
  <c r="F30" i="5" s="1"/>
  <c r="D10" i="2"/>
  <c r="C37" i="2"/>
  <c r="D37" i="2" s="1"/>
  <c r="D57" i="2"/>
  <c r="D65" i="2"/>
  <c r="B67" i="2"/>
  <c r="B68" i="2" s="1"/>
  <c r="B70" i="2" s="1"/>
  <c r="N21" i="3"/>
  <c r="N22" i="3" s="1"/>
  <c r="O10" i="3" s="1"/>
  <c r="P10" i="3" s="1"/>
  <c r="D15" i="2"/>
  <c r="C25" i="2"/>
  <c r="D25" i="2" s="1"/>
  <c r="D32" i="2"/>
  <c r="D46" i="2"/>
  <c r="D67" i="2" s="1"/>
  <c r="D68" i="2" s="1"/>
  <c r="O17" i="3"/>
  <c r="P17" i="3" s="1"/>
  <c r="I14" i="3" s="1"/>
  <c r="I13" i="3"/>
  <c r="E13" i="3"/>
  <c r="H13" i="3"/>
  <c r="D13" i="3"/>
  <c r="J13" i="3"/>
  <c r="F13" i="3"/>
  <c r="K4" i="2"/>
  <c r="D6" i="2"/>
  <c r="D22" i="2"/>
  <c r="D61" i="2"/>
  <c r="O11" i="3"/>
  <c r="P11" i="3" s="1"/>
  <c r="E14" i="3" s="1"/>
  <c r="G13" i="3"/>
  <c r="O14" i="3"/>
  <c r="P14" i="3" s="1"/>
  <c r="D14" i="3" s="1"/>
  <c r="O16" i="3"/>
  <c r="P16" i="3" s="1"/>
  <c r="F14" i="3" s="1"/>
  <c r="F20" i="4"/>
  <c r="F32" i="4" s="1"/>
  <c r="B17" i="2"/>
  <c r="D17" i="2" s="1"/>
  <c r="D9" i="5"/>
  <c r="D28" i="2"/>
  <c r="O13" i="3" l="1"/>
  <c r="P13" i="3" s="1"/>
  <c r="C14" i="3" s="1"/>
  <c r="O12" i="3"/>
  <c r="P12" i="3" s="1"/>
  <c r="J14" i="3" s="1"/>
  <c r="P21" i="3"/>
  <c r="G14" i="3"/>
  <c r="C2" i="3"/>
  <c r="F4" i="3" s="1"/>
  <c r="I72" i="2"/>
  <c r="J16" i="3" l="1"/>
  <c r="F16" i="3"/>
  <c r="F17" i="3" s="1"/>
  <c r="I16" i="3"/>
  <c r="I17" i="3" s="1"/>
  <c r="E16" i="3"/>
  <c r="E17" i="3" s="1"/>
  <c r="F5" i="3"/>
  <c r="G16" i="3"/>
  <c r="C16" i="3"/>
  <c r="H16" i="3"/>
  <c r="H17" i="3" s="1"/>
  <c r="D16" i="3"/>
  <c r="D17" i="3" s="1"/>
  <c r="J17" i="3"/>
  <c r="G17" i="3"/>
  <c r="C17" i="3"/>
  <c r="K14" i="3"/>
  <c r="K17" i="3" l="1"/>
  <c r="N2" i="2"/>
  <c r="N4" i="2" s="1"/>
  <c r="R2" i="2"/>
  <c r="R4" i="2" s="1"/>
  <c r="F2" i="2"/>
  <c r="F4" i="2" s="1"/>
  <c r="E2" i="2"/>
  <c r="K16" i="3"/>
  <c r="K24" i="3" s="1"/>
  <c r="P2" i="2"/>
  <c r="P4" i="2" s="1"/>
  <c r="H2" i="2"/>
  <c r="H4" i="2" s="1"/>
  <c r="Q2" i="2"/>
  <c r="Q4" i="2" s="1"/>
  <c r="O2" i="2"/>
  <c r="O4" i="2" s="1"/>
  <c r="E4" i="2" l="1"/>
  <c r="S4" i="2" s="1"/>
  <c r="S2" i="2"/>
</calcChain>
</file>

<file path=xl/comments1.xml><?xml version="1.0" encoding="utf-8"?>
<comments xmlns="http://schemas.openxmlformats.org/spreadsheetml/2006/main">
  <authors>
    <author/>
  </authors>
  <commentList>
    <comment ref="Q198" authorId="0" shapeId="0">
      <text>
        <r>
          <rPr>
            <sz val="10"/>
            <color rgb="FF000000"/>
            <rFont val="Arial"/>
            <family val="2"/>
          </rPr>
          <t>Translation work</t>
        </r>
      </text>
    </comment>
    <comment ref="Q205" authorId="0" shapeId="0">
      <text>
        <r>
          <rPr>
            <sz val="10"/>
            <color rgb="FF000000"/>
            <rFont val="Arial"/>
            <family val="2"/>
          </rPr>
          <t>Translation work</t>
        </r>
      </text>
    </comment>
  </commentList>
</comments>
</file>

<file path=xl/sharedStrings.xml><?xml version="1.0" encoding="utf-8"?>
<sst xmlns="http://schemas.openxmlformats.org/spreadsheetml/2006/main" count="319" uniqueCount="204">
  <si>
    <t>oneM2M Workload and monetary summary 2016</t>
  </si>
  <si>
    <t>FY2016 Budget</t>
  </si>
  <si>
    <t>ARIB</t>
  </si>
  <si>
    <t>ATIS</t>
  </si>
  <si>
    <t>BBF</t>
  </si>
  <si>
    <t>CCSA</t>
  </si>
  <si>
    <t>Continua</t>
  </si>
  <si>
    <t>Global Platform</t>
  </si>
  <si>
    <t>HGI</t>
  </si>
  <si>
    <t>NGM2M</t>
  </si>
  <si>
    <t>OMA</t>
  </si>
  <si>
    <t>ETSI</t>
  </si>
  <si>
    <t>TIA</t>
  </si>
  <si>
    <t>TSDSI</t>
  </si>
  <si>
    <t>TTC</t>
  </si>
  <si>
    <t>TTA</t>
  </si>
  <si>
    <t>Partner Budget &gt;</t>
  </si>
  <si>
    <t>PT1/2 Fixed Part</t>
  </si>
  <si>
    <t>PT1 Variable Part</t>
  </si>
  <si>
    <t>Confirmed arry over from 2015 central budget</t>
  </si>
  <si>
    <t>(estimate was $24,401)</t>
  </si>
  <si>
    <t>SC-approved values</t>
  </si>
  <si>
    <t>to be shared only among PT1s</t>
  </si>
  <si>
    <t>Partner Committed &gt;</t>
  </si>
  <si>
    <t>Total</t>
  </si>
  <si>
    <t>Partner Variance &gt;</t>
  </si>
  <si>
    <t>The oneM2M Approved Allocations Formula</t>
  </si>
  <si>
    <t>shared by PT1s on variable part of the 2015  budget only</t>
  </si>
  <si>
    <t>IT Services</t>
  </si>
  <si>
    <t>Partner Type 1 and 2 fixed contribution for 2016 is $5000*14</t>
  </si>
  <si>
    <t>Budget</t>
  </si>
  <si>
    <t>Funding of total 2015 Budget</t>
  </si>
  <si>
    <t>Committed</t>
  </si>
  <si>
    <t>Variance</t>
  </si>
  <si>
    <t>Listserv</t>
  </si>
  <si>
    <t>carry forward allocation</t>
  </si>
  <si>
    <t>Total approved budget is:</t>
  </si>
  <si>
    <t>Variable part</t>
  </si>
  <si>
    <t>The variable is based on each PT1's declared member base to cover the remaining budget - 693125-67,500=625,625</t>
  </si>
  <si>
    <t>SPAM Firewall</t>
  </si>
  <si>
    <t>Virtual Meeting</t>
  </si>
  <si>
    <t>Portal</t>
  </si>
  <si>
    <t>PT 1</t>
  </si>
  <si>
    <t>Portal enhancement (TP officers agreed)</t>
  </si>
  <si>
    <t>FTP Site</t>
  </si>
  <si>
    <t>Category Total</t>
  </si>
  <si>
    <t>Total 20 Oct 2015</t>
  </si>
  <si>
    <t>Registered Members</t>
  </si>
  <si>
    <t>MISC</t>
  </si>
  <si>
    <t>Central budget transaction fees</t>
  </si>
  <si>
    <t>Support staff travel</t>
  </si>
  <si>
    <t>% Share</t>
  </si>
  <si>
    <t>Travel SC</t>
  </si>
  <si>
    <t>*central budget item</t>
  </si>
  <si>
    <t>Code repository (Conformance testing etc)</t>
  </si>
  <si>
    <t>Carry over from Y-1 allocated to PT1s (see calculation on the right side of the sheet)</t>
  </si>
  <si>
    <t>Travel TP/WG person A</t>
  </si>
  <si>
    <t>Travel TP/WG person B</t>
  </si>
  <si>
    <t>Travel TP/WG person C</t>
  </si>
  <si>
    <t>Travel TP/WG person D</t>
  </si>
  <si>
    <t>Fixed Part</t>
  </si>
  <si>
    <t>MARCOM</t>
  </si>
  <si>
    <t>PR Agency*</t>
  </si>
  <si>
    <t>Telecom. Technology Association</t>
  </si>
  <si>
    <t>Variable Part</t>
  </si>
  <si>
    <t>Webinar Channel*</t>
  </si>
  <si>
    <t>Contingency for MARCOM and other activities</t>
  </si>
  <si>
    <t>Telecom. Technology Committee</t>
  </si>
  <si>
    <t>PR Agency</t>
  </si>
  <si>
    <t>Speaker support*</t>
  </si>
  <si>
    <t>Webinar Channel</t>
  </si>
  <si>
    <t>Salesware - Brochure (Author / Print)*</t>
  </si>
  <si>
    <t>Salesware - Whitepaper (Author / Print)*</t>
  </si>
  <si>
    <t>Speaker support</t>
  </si>
  <si>
    <t>*central budget  item</t>
  </si>
  <si>
    <t>Salesware - Graphic Artist - Update Gfx*</t>
  </si>
  <si>
    <t>Fixed part</t>
  </si>
  <si>
    <t>Web Hosting</t>
  </si>
  <si>
    <t>Salesware - Brochure (Author / Print)</t>
  </si>
  <si>
    <t>Content Authoring</t>
  </si>
  <si>
    <t xml:space="preserve">PT1s (7 * 5000 USD + 3750 TSDSI proratized) </t>
  </si>
  <si>
    <t>Salesware - Whitepaper (Author / Print)</t>
  </si>
  <si>
    <t>Salesware - Graphic Artist - Update Gfx</t>
  </si>
  <si>
    <t>PT2</t>
  </si>
  <si>
    <t>Total # PT1</t>
  </si>
  <si>
    <t>Workload Support</t>
  </si>
  <si>
    <t xml:space="preserve">PT2s ( 5 * 5000 USD) </t>
  </si>
  <si>
    <t>DAYS of support</t>
  </si>
  <si>
    <t>ENTER THE NUMBER OF DAYS SUPPORT BELOW</t>
  </si>
  <si>
    <t>SC support</t>
  </si>
  <si>
    <t>Total # PT2</t>
  </si>
  <si>
    <t>TOTAL 2015 BUDGET FUNDING</t>
  </si>
  <si>
    <t>FC support</t>
  </si>
  <si>
    <t>FC Budget Management</t>
  </si>
  <si>
    <t>M&amp;P  support</t>
  </si>
  <si>
    <t>Legal</t>
  </si>
  <si>
    <t>Total # Partners</t>
  </si>
  <si>
    <t>PT2 applications processing</t>
  </si>
  <si>
    <t>TP and AHG support</t>
  </si>
  <si>
    <t>PT1s variable share only</t>
  </si>
  <si>
    <t>WG support person 1</t>
  </si>
  <si>
    <t>WG support person 2</t>
  </si>
  <si>
    <t>WG support person 3</t>
  </si>
  <si>
    <t>WG support person 4</t>
  </si>
  <si>
    <t>Work Programme/Release support</t>
  </si>
  <si>
    <t>GlobalPlatform</t>
  </si>
  <si>
    <t>Portal support and data entry</t>
  </si>
  <si>
    <t>Conformance testing repository</t>
  </si>
  <si>
    <t>2016 IM confirmed by Jan. 5</t>
  </si>
  <si>
    <t>LS support</t>
  </si>
  <si>
    <t>Exploder support + FTP synch</t>
  </si>
  <si>
    <t>Membership and accounts</t>
  </si>
  <si>
    <t>Total number of days</t>
  </si>
  <si>
    <t>not available for commitment</t>
  </si>
  <si>
    <t>Monetary equivalent</t>
  </si>
  <si>
    <t>2016 Cash disbursments foreseen from central budget</t>
  </si>
  <si>
    <t>Expenditure: cells B37 - B34(covered by ETSI) - B29 (covered by TIA) + B17</t>
  </si>
  <si>
    <t>Contingency(MARCOM and other activities)</t>
  </si>
  <si>
    <t xml:space="preserve"> provisional amount- no precise plans to spend this- hence not be considered in the budget for 2016 </t>
  </si>
  <si>
    <t>2016 Cash receipts foreseen in central budget</t>
  </si>
  <si>
    <t>Cash from PT2s fixed contribution to budget</t>
  </si>
  <si>
    <t>Cash from CCSA financial contribution</t>
  </si>
  <si>
    <t>Remaining cash from 2015</t>
  </si>
  <si>
    <t>oneM2M Budget for FY2016 (monetary equivalent + central budget)</t>
  </si>
  <si>
    <t>IT services</t>
  </si>
  <si>
    <t>Mandatory/Optional</t>
  </si>
  <si>
    <t>Maintenance/Hosting (per year)</t>
  </si>
  <si>
    <t>Adjusted Estimate</t>
  </si>
  <si>
    <t>Line Total</t>
  </si>
  <si>
    <t>M</t>
  </si>
  <si>
    <t>Code repository (conformance testing etc.)</t>
  </si>
  <si>
    <t>Central budget</t>
  </si>
  <si>
    <t>Salesware</t>
  </si>
  <si>
    <t>Central budget bank transaction fees</t>
  </si>
  <si>
    <t>Staff Travel</t>
  </si>
  <si>
    <t>1x Airfare</t>
  </si>
  <si>
    <t>Per Day Hotel/Food/Misc.</t>
  </si>
  <si>
    <t>Total Days TP/SC</t>
  </si>
  <si>
    <t>Intercontental per staff (4x)</t>
  </si>
  <si>
    <t>Regional</t>
  </si>
  <si>
    <t>SC F2F attendance</t>
  </si>
  <si>
    <t>Grand Total</t>
  </si>
  <si>
    <t>oneM2M Budget for FY2016(workload)</t>
  </si>
  <si>
    <t>Type of activity</t>
  </si>
  <si>
    <t>Meetings (#)</t>
  </si>
  <si>
    <t>Workload (person-days) 
per meeting</t>
  </si>
  <si>
    <t>Workload
(person-days)</t>
  </si>
  <si>
    <t>WorkLoad (person-days) adjustment</t>
  </si>
  <si>
    <t>Workload (person-months)
per year</t>
  </si>
  <si>
    <t>Reason for change</t>
  </si>
  <si>
    <t>25days in 2015</t>
  </si>
  <si>
    <t>20days in 2015</t>
  </si>
  <si>
    <t>FC Budget Managemnt</t>
  </si>
  <si>
    <t>N/A</t>
  </si>
  <si>
    <t>9.3days in 2015</t>
  </si>
  <si>
    <t>15days in 2015</t>
  </si>
  <si>
    <t>Subtotal</t>
  </si>
  <si>
    <t>109.3days in 2015</t>
  </si>
  <si>
    <t>Workload 
(person-days)</t>
  </si>
  <si>
    <t>PT2 applications</t>
  </si>
  <si>
    <t>WG support (5 WG)</t>
  </si>
  <si>
    <t>Code repository (comformance testing etc.)</t>
  </si>
  <si>
    <t>MARCOM Budget</t>
  </si>
  <si>
    <t>166.1days in 2015</t>
  </si>
  <si>
    <t>GRAND TOTAL</t>
  </si>
  <si>
    <t>Person days/month (to calculate "E") =</t>
  </si>
  <si>
    <t>staff equivalent/year</t>
  </si>
  <si>
    <t>cost of one person/year</t>
  </si>
  <si>
    <t>@ example of $150K/person/year</t>
  </si>
  <si>
    <t>cost of one person/day</t>
  </si>
  <si>
    <t>One-time</t>
  </si>
  <si>
    <t>Recurring</t>
  </si>
  <si>
    <t>Staff-
Months</t>
  </si>
  <si>
    <t>Oty</t>
  </si>
  <si>
    <t>Category HC man-mo</t>
  </si>
  <si>
    <t>Breakdown</t>
  </si>
  <si>
    <t>Breakdown HC man-mo</t>
  </si>
  <si>
    <t>HC converted to $ value</t>
  </si>
  <si>
    <t>HC role and tasks</t>
  </si>
  <si>
    <t>Managing the PR agency, Acting as coordinator between the PR agency and oneM2M officers and delegates</t>
  </si>
  <si>
    <t>Webinar: BrightTalk Subscription</t>
  </si>
  <si>
    <t>Purchasing the licences and making the package available to oneM2M.</t>
  </si>
  <si>
    <t>Speaker Coordination</t>
  </si>
  <si>
    <t>Finding Speakers for 12 events.</t>
  </si>
  <si>
    <t>Presentation Material Prep</t>
  </si>
  <si>
    <t>Preparing/customizing slide sets for the 12 events</t>
  </si>
  <si>
    <t>T&amp;L - Invited Speaker</t>
  </si>
  <si>
    <t>Brochure (Author / Print)</t>
  </si>
  <si>
    <t>Writing the contents of the brochure. Designing the layout of the brochure. Having it proof read and agreed by Marcom</t>
  </si>
  <si>
    <t>Whitepaper (Author / Print)</t>
  </si>
  <si>
    <t>Arranging for writing of and publication of the white paper. Distribution of the white paper</t>
  </si>
  <si>
    <t>Graphic Artist - Update Gfx</t>
  </si>
  <si>
    <t>Selecting and briefing the graphic artist. Coordinating between web master/ brochure designer and graphic artist.</t>
  </si>
  <si>
    <t>Manage URLs</t>
  </si>
  <si>
    <t>Domain management</t>
  </si>
  <si>
    <t>including SySAdmin</t>
  </si>
  <si>
    <t>Web Enhancements</t>
  </si>
  <si>
    <t>Updating structure of existing web site</t>
  </si>
  <si>
    <t>Web Content Authoring</t>
  </si>
  <si>
    <t>Providing new material for the web site - keeping the home page "fresh". Providing updates after each TP/SC/other significant event</t>
  </si>
  <si>
    <t>Social Media (Twitter)</t>
  </si>
  <si>
    <t>Regular tweets and retweets to keep the media alive and interesting</t>
  </si>
  <si>
    <t>Total 2016 budget</t>
  </si>
  <si>
    <t>Contingency for MARCOM and other activities(not applicable to oneM2M budget!)</t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</si>
</sst>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24" formatCode="\$#,##0_);[Red]\(\$#,##0\)"/>
    <numFmt numFmtId="176" formatCode="&quot;$&quot;#,##0.00"/>
    <numFmt numFmtId="177" formatCode="&quot;$&quot;#,##0"/>
    <numFmt numFmtId="178" formatCode="&quot;$&quot;#,##0.00\ ;&quot;$&quot;\(#,##0.00\)"/>
    <numFmt numFmtId="179" formatCode="_-* #,##0_-;\-* #,##0_-;_-* &quot;-&quot;??_-;_-@"/>
    <numFmt numFmtId="180" formatCode="&quot;$&quot;#,##0\ ;&quot;$&quot;\-#,##0"/>
    <numFmt numFmtId="181" formatCode="_-* #,##0\ _€_-;\-* #,##0\ _€_-;_-* &quot;-&quot;??\ _€_-;_-@"/>
    <numFmt numFmtId="182" formatCode="#,##0_ ;[Red]\-#,##0\ "/>
    <numFmt numFmtId="183" formatCode="_-* #,##0.00_-;\-* #,##0.00_-;_-* &quot;-&quot;??_-;_-@"/>
    <numFmt numFmtId="184" formatCode="#,##0.00_ "/>
    <numFmt numFmtId="185" formatCode="&quot;$&quot;#,##0.00;&quot;$&quot;\(#,##0.00\)"/>
    <numFmt numFmtId="186" formatCode="#,##0.000"/>
  </numFmts>
  <fonts count="44">
    <font>
      <sz val="10"/>
      <color rgb="FF000000"/>
      <name val="Arial"/>
    </font>
    <font>
      <b/>
      <sz val="14"/>
      <color rgb="FF000000"/>
      <name val="Arial"/>
      <family val="2"/>
    </font>
    <font>
      <b/>
      <sz val="16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4"/>
      <color rgb="FFFF0000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MS PGothic"/>
      <family val="3"/>
      <charset val="128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1"/>
      <color rgb="FF000000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u/>
      <sz val="11"/>
      <color rgb="FF000000"/>
      <name val="Calibri"/>
      <family val="2"/>
    </font>
    <font>
      <sz val="10"/>
      <color rgb="FF0070C0"/>
      <name val="Arial"/>
      <family val="2"/>
    </font>
    <font>
      <sz val="10"/>
      <color rgb="FF9900FF"/>
      <name val="Arial"/>
      <family val="2"/>
    </font>
    <font>
      <sz val="14"/>
      <color rgb="FF000000"/>
      <name val="Calibri"/>
      <family val="2"/>
    </font>
    <font>
      <sz val="11"/>
      <color rgb="FF0066CC"/>
      <name val="Calibri"/>
      <family val="2"/>
    </font>
    <font>
      <sz val="11"/>
      <color rgb="FF000000"/>
      <name val="Arial"/>
      <family val="2"/>
    </font>
    <font>
      <b/>
      <sz val="8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rgb="FFFF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rgb="FFFFFFFF"/>
      <name val="Arial"/>
      <family val="2"/>
    </font>
    <font>
      <b/>
      <sz val="10"/>
      <color rgb="FF0000CC"/>
      <name val="Arial"/>
      <family val="2"/>
    </font>
    <font>
      <b/>
      <sz val="10"/>
      <color rgb="FFC00000"/>
      <name val="Arial"/>
      <family val="2"/>
    </font>
    <font>
      <sz val="10"/>
      <color rgb="FF0000CC"/>
      <name val="Arial"/>
      <family val="2"/>
    </font>
    <font>
      <sz val="10"/>
      <color rgb="FFC0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9CC2E5"/>
        <bgColor rgb="FF9CC2E5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8E7CC3"/>
        <bgColor rgb="FF8E7CC3"/>
      </patternFill>
    </fill>
    <fill>
      <patternFill patternType="solid">
        <fgColor rgb="FFE06666"/>
        <bgColor rgb="FFE06666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BD4B4"/>
        <bgColor rgb="FFFBD4B4"/>
      </patternFill>
    </fill>
    <fill>
      <patternFill patternType="solid">
        <fgColor rgb="FFD9D2E9"/>
        <bgColor rgb="FFD9D2E9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B8CCE4"/>
        <bgColor rgb="FFB8CCE4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ABF8F"/>
        <bgColor rgb="FFFABF8F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800080"/>
        <bgColor rgb="FF80008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8" tint="0.79998168889431442"/>
        <bgColor rgb="FFFFFF00"/>
      </patternFill>
    </fill>
  </fills>
  <borders count="2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3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/>
    <xf numFmtId="0" fontId="5" fillId="4" borderId="0" xfId="0" applyFont="1" applyFill="1" applyBorder="1" applyAlignment="1">
      <alignment horizontal="center" wrapText="1"/>
    </xf>
    <xf numFmtId="176" fontId="5" fillId="5" borderId="0" xfId="0" applyNumberFormat="1" applyFont="1" applyFill="1" applyBorder="1"/>
    <xf numFmtId="0" fontId="5" fillId="0" borderId="0" xfId="0" applyFont="1"/>
    <xf numFmtId="0" fontId="6" fillId="4" borderId="0" xfId="0" applyFont="1" applyFill="1" applyBorder="1" applyAlignment="1">
      <alignment horizontal="center" wrapText="1"/>
    </xf>
    <xf numFmtId="177" fontId="5" fillId="0" borderId="0" xfId="0" applyNumberFormat="1" applyFont="1"/>
    <xf numFmtId="3" fontId="0" fillId="6" borderId="0" xfId="0" applyNumberFormat="1" applyFont="1" applyFill="1" applyBorder="1"/>
    <xf numFmtId="0" fontId="0" fillId="6" borderId="0" xfId="0" applyFont="1" applyFill="1" applyBorder="1" applyAlignment="1">
      <alignment wrapText="1"/>
    </xf>
    <xf numFmtId="24" fontId="7" fillId="6" borderId="0" xfId="0" applyNumberFormat="1" applyFont="1" applyFill="1" applyBorder="1"/>
    <xf numFmtId="0" fontId="8" fillId="0" borderId="0" xfId="0" applyFont="1"/>
    <xf numFmtId="177" fontId="5" fillId="7" borderId="0" xfId="0" applyNumberFormat="1" applyFont="1" applyFill="1" applyBorder="1"/>
    <xf numFmtId="177" fontId="5" fillId="8" borderId="0" xfId="0" applyNumberFormat="1" applyFont="1" applyFill="1" applyBorder="1"/>
    <xf numFmtId="0" fontId="0" fillId="6" borderId="0" xfId="0" applyFont="1" applyFill="1" applyBorder="1"/>
    <xf numFmtId="0" fontId="4" fillId="6" borderId="0" xfId="0" applyFont="1" applyFill="1" applyBorder="1" applyAlignment="1">
      <alignment horizontal="left"/>
    </xf>
    <xf numFmtId="177" fontId="4" fillId="0" borderId="0" xfId="0" applyNumberFormat="1" applyFont="1"/>
    <xf numFmtId="0" fontId="10" fillId="6" borderId="0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177" fontId="10" fillId="0" borderId="0" xfId="0" applyNumberFormat="1" applyFont="1"/>
    <xf numFmtId="0" fontId="12" fillId="0" borderId="0" xfId="0" applyFont="1"/>
    <xf numFmtId="179" fontId="13" fillId="0" borderId="0" xfId="0" applyNumberFormat="1" applyFont="1"/>
    <xf numFmtId="0" fontId="5" fillId="9" borderId="0" xfId="0" applyFont="1" applyFill="1" applyBorder="1"/>
    <xf numFmtId="0" fontId="5" fillId="0" borderId="0" xfId="0" applyFont="1" applyAlignment="1">
      <alignment horizontal="center"/>
    </xf>
    <xf numFmtId="177" fontId="5" fillId="9" borderId="0" xfId="0" applyNumberFormat="1" applyFont="1" applyFill="1" applyBorder="1" applyAlignment="1">
      <alignment horizontal="center"/>
    </xf>
    <xf numFmtId="0" fontId="13" fillId="0" borderId="0" xfId="0" applyFont="1"/>
    <xf numFmtId="0" fontId="4" fillId="10" borderId="0" xfId="0" applyFont="1" applyFill="1" applyBorder="1" applyAlignment="1">
      <alignment horizontal="left"/>
    </xf>
    <xf numFmtId="0" fontId="14" fillId="0" borderId="0" xfId="0" applyFont="1"/>
    <xf numFmtId="177" fontId="5" fillId="10" borderId="0" xfId="0" applyNumberFormat="1" applyFont="1" applyFill="1" applyBorder="1"/>
    <xf numFmtId="177" fontId="4" fillId="10" borderId="0" xfId="0" applyNumberFormat="1" applyFont="1" applyFill="1" applyBorder="1"/>
    <xf numFmtId="179" fontId="0" fillId="0" borderId="0" xfId="0" applyNumberFormat="1" applyFont="1"/>
    <xf numFmtId="180" fontId="4" fillId="10" borderId="0" xfId="0" applyNumberFormat="1" applyFont="1" applyFill="1" applyBorder="1"/>
    <xf numFmtId="179" fontId="14" fillId="0" borderId="0" xfId="0" applyNumberFormat="1" applyFont="1"/>
    <xf numFmtId="10" fontId="0" fillId="0" borderId="0" xfId="0" applyNumberFormat="1" applyFont="1"/>
    <xf numFmtId="177" fontId="4" fillId="3" borderId="1" xfId="0" applyNumberFormat="1" applyFont="1" applyFill="1" applyBorder="1"/>
    <xf numFmtId="181" fontId="0" fillId="0" borderId="0" xfId="0" applyNumberFormat="1" applyFont="1"/>
    <xf numFmtId="0" fontId="4" fillId="0" borderId="0" xfId="0" applyFont="1" applyAlignment="1">
      <alignment horizontal="center"/>
    </xf>
    <xf numFmtId="177" fontId="5" fillId="9" borderId="0" xfId="0" applyNumberFormat="1" applyFont="1" applyFill="1" applyBorder="1"/>
    <xf numFmtId="180" fontId="5" fillId="9" borderId="0" xfId="0" applyNumberFormat="1" applyFont="1" applyFill="1" applyBorder="1"/>
    <xf numFmtId="177" fontId="4" fillId="0" borderId="1" xfId="0" applyNumberFormat="1" applyFont="1" applyBorder="1"/>
    <xf numFmtId="0" fontId="4" fillId="11" borderId="0" xfId="0" applyFont="1" applyFill="1" applyBorder="1" applyAlignment="1">
      <alignment horizontal="center"/>
    </xf>
    <xf numFmtId="0" fontId="5" fillId="12" borderId="0" xfId="0" applyFont="1" applyFill="1" applyBorder="1"/>
    <xf numFmtId="177" fontId="5" fillId="1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2" borderId="0" xfId="0" applyFont="1" applyFill="1" applyBorder="1" applyAlignment="1">
      <alignment horizontal="center"/>
    </xf>
    <xf numFmtId="0" fontId="5" fillId="13" borderId="0" xfId="0" applyFont="1" applyFill="1" applyBorder="1"/>
    <xf numFmtId="177" fontId="5" fillId="13" borderId="0" xfId="0" applyNumberFormat="1" applyFont="1" applyFill="1" applyBorder="1" applyAlignment="1">
      <alignment horizontal="center"/>
    </xf>
    <xf numFmtId="177" fontId="4" fillId="14" borderId="0" xfId="0" applyNumberFormat="1" applyFont="1" applyFill="1" applyBorder="1"/>
    <xf numFmtId="0" fontId="4" fillId="14" borderId="0" xfId="0" applyFont="1" applyFill="1" applyBorder="1" applyAlignment="1">
      <alignment horizontal="left"/>
    </xf>
    <xf numFmtId="180" fontId="4" fillId="14" borderId="0" xfId="0" applyNumberFormat="1" applyFont="1" applyFill="1" applyBorder="1"/>
    <xf numFmtId="177" fontId="5" fillId="14" borderId="0" xfId="0" applyNumberFormat="1" applyFont="1" applyFill="1" applyBorder="1" applyAlignment="1">
      <alignment horizontal="right"/>
    </xf>
    <xf numFmtId="0" fontId="4" fillId="7" borderId="0" xfId="0" applyFont="1" applyFill="1" applyBorder="1"/>
    <xf numFmtId="0" fontId="9" fillId="0" borderId="0" xfId="0" applyFont="1" applyAlignment="1">
      <alignment wrapText="1"/>
    </xf>
    <xf numFmtId="0" fontId="4" fillId="2" borderId="0" xfId="0" applyFont="1" applyFill="1" applyBorder="1"/>
    <xf numFmtId="181" fontId="16" fillId="0" borderId="0" xfId="0" applyNumberFormat="1" applyFont="1" applyAlignment="1">
      <alignment wrapText="1"/>
    </xf>
    <xf numFmtId="177" fontId="5" fillId="12" borderId="0" xfId="0" applyNumberFormat="1" applyFont="1" applyFill="1" applyBorder="1"/>
    <xf numFmtId="181" fontId="10" fillId="0" borderId="0" xfId="0" applyNumberFormat="1" applyFont="1"/>
    <xf numFmtId="176" fontId="4" fillId="0" borderId="0" xfId="0" applyNumberFormat="1" applyFont="1"/>
    <xf numFmtId="177" fontId="5" fillId="13" borderId="0" xfId="0" applyNumberFormat="1" applyFont="1" applyFill="1" applyBorder="1" applyAlignment="1">
      <alignment horizontal="right"/>
    </xf>
    <xf numFmtId="177" fontId="5" fillId="13" borderId="0" xfId="0" applyNumberFormat="1" applyFont="1" applyFill="1" applyBorder="1"/>
    <xf numFmtId="180" fontId="5" fillId="13" borderId="0" xfId="0" applyNumberFormat="1" applyFont="1" applyFill="1" applyBorder="1"/>
    <xf numFmtId="0" fontId="5" fillId="11" borderId="0" xfId="0" applyFont="1" applyFill="1" applyBorder="1"/>
    <xf numFmtId="0" fontId="5" fillId="11" borderId="0" xfId="0" applyFont="1" applyFill="1" applyBorder="1" applyAlignment="1">
      <alignment horizontal="center"/>
    </xf>
    <xf numFmtId="176" fontId="4" fillId="15" borderId="0" xfId="0" applyNumberFormat="1" applyFont="1" applyFill="1" applyBorder="1"/>
    <xf numFmtId="0" fontId="4" fillId="16" borderId="0" xfId="0" applyFont="1" applyFill="1" applyBorder="1"/>
    <xf numFmtId="177" fontId="5" fillId="16" borderId="0" xfId="0" applyNumberFormat="1" applyFont="1" applyFill="1" applyBorder="1"/>
    <xf numFmtId="176" fontId="4" fillId="0" borderId="2" xfId="0" applyNumberFormat="1" applyFont="1" applyBorder="1"/>
    <xf numFmtId="177" fontId="4" fillId="16" borderId="0" xfId="0" applyNumberFormat="1" applyFont="1" applyFill="1" applyBorder="1"/>
    <xf numFmtId="180" fontId="4" fillId="16" borderId="0" xfId="0" applyNumberFormat="1" applyFont="1" applyFill="1" applyBorder="1"/>
    <xf numFmtId="0" fontId="10" fillId="0" borderId="0" xfId="0" applyFont="1"/>
    <xf numFmtId="0" fontId="4" fillId="3" borderId="0" xfId="0" applyFont="1" applyFill="1" applyBorder="1"/>
    <xf numFmtId="176" fontId="5" fillId="0" borderId="3" xfId="0" applyNumberFormat="1" applyFont="1" applyBorder="1"/>
    <xf numFmtId="3" fontId="4" fillId="0" borderId="0" xfId="0" applyNumberFormat="1" applyFont="1"/>
    <xf numFmtId="0" fontId="18" fillId="0" borderId="0" xfId="0" applyFont="1"/>
    <xf numFmtId="0" fontId="8" fillId="0" borderId="1" xfId="0" applyFont="1" applyBorder="1" applyAlignment="1">
      <alignment wrapText="1"/>
    </xf>
    <xf numFmtId="177" fontId="5" fillId="11" borderId="0" xfId="0" applyNumberFormat="1" applyFont="1" applyFill="1" applyBorder="1"/>
    <xf numFmtId="0" fontId="19" fillId="0" borderId="0" xfId="0" applyFont="1"/>
    <xf numFmtId="0" fontId="0" fillId="15" borderId="0" xfId="0" applyFont="1" applyFill="1" applyBorder="1" applyAlignment="1">
      <alignment wrapText="1"/>
    </xf>
    <xf numFmtId="176" fontId="0" fillId="0" borderId="0" xfId="0" applyNumberFormat="1" applyFont="1" applyAlignment="1">
      <alignment wrapText="1"/>
    </xf>
    <xf numFmtId="0" fontId="5" fillId="17" borderId="0" xfId="0" applyFont="1" applyFill="1" applyBorder="1"/>
    <xf numFmtId="182" fontId="14" fillId="0" borderId="0" xfId="0" applyNumberFormat="1" applyFont="1"/>
    <xf numFmtId="10" fontId="20" fillId="0" borderId="0" xfId="0" applyNumberFormat="1" applyFont="1"/>
    <xf numFmtId="181" fontId="20" fillId="0" borderId="0" xfId="0" applyNumberFormat="1" applyFont="1"/>
    <xf numFmtId="0" fontId="4" fillId="18" borderId="0" xfId="0" applyFont="1" applyFill="1" applyBorder="1" applyAlignment="1">
      <alignment horizontal="left"/>
    </xf>
    <xf numFmtId="176" fontId="5" fillId="0" borderId="0" xfId="0" applyNumberFormat="1" applyFont="1"/>
    <xf numFmtId="4" fontId="5" fillId="18" borderId="0" xfId="0" applyNumberFormat="1" applyFont="1" applyFill="1" applyBorder="1"/>
    <xf numFmtId="0" fontId="4" fillId="19" borderId="0" xfId="0" applyFont="1" applyFill="1" applyBorder="1"/>
    <xf numFmtId="4" fontId="4" fillId="18" borderId="0" xfId="0" applyNumberFormat="1" applyFont="1" applyFill="1" applyBorder="1"/>
    <xf numFmtId="176" fontId="4" fillId="19" borderId="0" xfId="0" applyNumberFormat="1" applyFont="1" applyFill="1" applyBorder="1"/>
    <xf numFmtId="4" fontId="4" fillId="0" borderId="0" xfId="0" applyNumberFormat="1" applyFont="1"/>
    <xf numFmtId="0" fontId="18" fillId="0" borderId="4" xfId="0" applyFont="1" applyBorder="1"/>
    <xf numFmtId="0" fontId="4" fillId="18" borderId="0" xfId="0" applyFont="1" applyFill="1" applyBorder="1"/>
    <xf numFmtId="179" fontId="14" fillId="0" borderId="4" xfId="0" applyNumberFormat="1" applyFont="1" applyBorder="1"/>
    <xf numFmtId="10" fontId="20" fillId="0" borderId="4" xfId="0" applyNumberFormat="1" applyFont="1" applyBorder="1"/>
    <xf numFmtId="181" fontId="8" fillId="0" borderId="4" xfId="0" applyNumberFormat="1" applyFont="1" applyBorder="1"/>
    <xf numFmtId="176" fontId="9" fillId="0" borderId="0" xfId="0" applyNumberFormat="1" applyFont="1"/>
    <xf numFmtId="0" fontId="5" fillId="20" borderId="0" xfId="0" applyFont="1" applyFill="1" applyBorder="1"/>
    <xf numFmtId="0" fontId="12" fillId="0" borderId="2" xfId="0" applyFont="1" applyBorder="1"/>
    <xf numFmtId="179" fontId="14" fillId="0" borderId="2" xfId="0" applyNumberFormat="1" applyFont="1" applyBorder="1"/>
    <xf numFmtId="0" fontId="0" fillId="0" borderId="2" xfId="0" applyFont="1" applyBorder="1"/>
    <xf numFmtId="183" fontId="0" fillId="0" borderId="2" xfId="0" applyNumberFormat="1" applyFont="1" applyBorder="1"/>
    <xf numFmtId="3" fontId="0" fillId="0" borderId="0" xfId="0" applyNumberFormat="1" applyFont="1"/>
    <xf numFmtId="4" fontId="4" fillId="0" borderId="1" xfId="0" applyNumberFormat="1" applyFont="1" applyBorder="1"/>
    <xf numFmtId="184" fontId="4" fillId="0" borderId="0" xfId="0" applyNumberFormat="1" applyFont="1"/>
    <xf numFmtId="4" fontId="4" fillId="3" borderId="1" xfId="0" applyNumberFormat="1" applyFont="1" applyFill="1" applyBorder="1"/>
    <xf numFmtId="181" fontId="4" fillId="0" borderId="0" xfId="0" applyNumberFormat="1" applyFont="1"/>
    <xf numFmtId="0" fontId="0" fillId="11" borderId="0" xfId="0" applyFont="1" applyFill="1" applyBorder="1" applyAlignment="1">
      <alignment wrapText="1"/>
    </xf>
    <xf numFmtId="0" fontId="21" fillId="0" borderId="0" xfId="0" applyFont="1"/>
    <xf numFmtId="0" fontId="4" fillId="0" borderId="1" xfId="0" applyFont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/>
    <xf numFmtId="0" fontId="5" fillId="17" borderId="0" xfId="0" applyFont="1" applyFill="1" applyBorder="1" applyAlignment="1">
      <alignment vertical="center"/>
    </xf>
    <xf numFmtId="4" fontId="5" fillId="17" borderId="0" xfId="0" applyNumberFormat="1" applyFont="1" applyFill="1" applyBorder="1"/>
    <xf numFmtId="0" fontId="4" fillId="0" borderId="0" xfId="0" applyFont="1" applyBorder="1"/>
    <xf numFmtId="4" fontId="4" fillId="17" borderId="0" xfId="0" applyNumberFormat="1" applyFont="1" applyFill="1" applyBorder="1"/>
    <xf numFmtId="4" fontId="5" fillId="0" borderId="0" xfId="0" applyNumberFormat="1" applyFont="1" applyBorder="1"/>
    <xf numFmtId="180" fontId="5" fillId="17" borderId="0" xfId="0" applyNumberFormat="1" applyFont="1" applyFill="1" applyBorder="1"/>
    <xf numFmtId="180" fontId="4" fillId="17" borderId="0" xfId="0" applyNumberFormat="1" applyFont="1" applyFill="1" applyBorder="1"/>
    <xf numFmtId="1" fontId="4" fillId="0" borderId="0" xfId="0" applyNumberFormat="1" applyFont="1"/>
    <xf numFmtId="0" fontId="14" fillId="0" borderId="0" xfId="0" applyFont="1" applyAlignment="1">
      <alignment wrapText="1"/>
    </xf>
    <xf numFmtId="1" fontId="5" fillId="0" borderId="0" xfId="0" applyNumberFormat="1" applyFont="1"/>
    <xf numFmtId="1" fontId="4" fillId="2" borderId="0" xfId="0" applyNumberFormat="1" applyFont="1" applyFill="1" applyBorder="1"/>
    <xf numFmtId="0" fontId="0" fillId="2" borderId="0" xfId="0" applyFont="1" applyFill="1" applyBorder="1" applyAlignment="1">
      <alignment wrapText="1"/>
    </xf>
    <xf numFmtId="1" fontId="10" fillId="0" borderId="0" xfId="0" applyNumberFormat="1" applyFont="1" applyAlignment="1"/>
    <xf numFmtId="1" fontId="10" fillId="0" borderId="0" xfId="0" applyNumberFormat="1" applyFont="1"/>
    <xf numFmtId="0" fontId="4" fillId="0" borderId="8" xfId="0" applyFont="1" applyBorder="1"/>
    <xf numFmtId="0" fontId="5" fillId="21" borderId="9" xfId="0" applyFont="1" applyFill="1" applyBorder="1"/>
    <xf numFmtId="177" fontId="4" fillId="21" borderId="9" xfId="0" applyNumberFormat="1" applyFont="1" applyFill="1" applyBorder="1" applyAlignment="1">
      <alignment horizontal="center"/>
    </xf>
    <xf numFmtId="0" fontId="4" fillId="21" borderId="9" xfId="0" applyFont="1" applyFill="1" applyBorder="1" applyAlignment="1">
      <alignment horizontal="center"/>
    </xf>
    <xf numFmtId="0" fontId="4" fillId="22" borderId="9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left"/>
    </xf>
    <xf numFmtId="177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/>
    </xf>
    <xf numFmtId="0" fontId="4" fillId="3" borderId="8" xfId="0" applyFont="1" applyFill="1" applyBorder="1"/>
    <xf numFmtId="0" fontId="4" fillId="21" borderId="9" xfId="0" applyFont="1" applyFill="1" applyBorder="1"/>
    <xf numFmtId="177" fontId="5" fillId="21" borderId="9" xfId="0" applyNumberFormat="1" applyFont="1" applyFill="1" applyBorder="1" applyAlignment="1">
      <alignment horizontal="center"/>
    </xf>
    <xf numFmtId="0" fontId="10" fillId="21" borderId="9" xfId="0" applyFont="1" applyFill="1" applyBorder="1" applyAlignment="1">
      <alignment horizontal="center"/>
    </xf>
    <xf numFmtId="176" fontId="10" fillId="21" borderId="9" xfId="0" applyNumberFormat="1" applyFont="1" applyFill="1" applyBorder="1" applyAlignment="1">
      <alignment horizontal="center"/>
    </xf>
    <xf numFmtId="0" fontId="5" fillId="21" borderId="9" xfId="0" applyFont="1" applyFill="1" applyBorder="1" applyAlignment="1">
      <alignment horizontal="center"/>
    </xf>
    <xf numFmtId="0" fontId="10" fillId="0" borderId="8" xfId="0" applyFont="1" applyBorder="1"/>
    <xf numFmtId="0" fontId="4" fillId="0" borderId="6" xfId="0" applyFont="1" applyBorder="1"/>
    <xf numFmtId="177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176" fontId="4" fillId="21" borderId="9" xfId="0" applyNumberFormat="1" applyFont="1" applyFill="1" applyBorder="1" applyAlignment="1">
      <alignment horizontal="center"/>
    </xf>
    <xf numFmtId="0" fontId="4" fillId="0" borderId="9" xfId="0" applyFont="1" applyBorder="1"/>
    <xf numFmtId="0" fontId="23" fillId="0" borderId="0" xfId="0" applyFont="1"/>
    <xf numFmtId="0" fontId="25" fillId="0" borderId="9" xfId="0" applyFont="1" applyBorder="1"/>
    <xf numFmtId="177" fontId="10" fillId="0" borderId="9" xfId="0" applyNumberFormat="1" applyFont="1" applyBorder="1" applyAlignment="1">
      <alignment horizontal="center"/>
    </xf>
    <xf numFmtId="0" fontId="26" fillId="23" borderId="9" xfId="0" applyFont="1" applyFill="1" applyBorder="1"/>
    <xf numFmtId="177" fontId="4" fillId="23" borderId="9" xfId="0" applyNumberFormat="1" applyFont="1" applyFill="1" applyBorder="1" applyAlignment="1">
      <alignment horizontal="center"/>
    </xf>
    <xf numFmtId="0" fontId="4" fillId="23" borderId="9" xfId="0" applyFont="1" applyFill="1" applyBorder="1" applyAlignment="1">
      <alignment horizontal="center"/>
    </xf>
    <xf numFmtId="176" fontId="4" fillId="23" borderId="9" xfId="0" applyNumberFormat="1" applyFont="1" applyFill="1" applyBorder="1" applyAlignment="1">
      <alignment horizontal="center"/>
    </xf>
    <xf numFmtId="0" fontId="27" fillId="0" borderId="6" xfId="0" applyFont="1" applyBorder="1"/>
    <xf numFmtId="0" fontId="0" fillId="23" borderId="9" xfId="0" applyFont="1" applyFill="1" applyBorder="1" applyAlignment="1">
      <alignment wrapText="1"/>
    </xf>
    <xf numFmtId="17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7" fillId="0" borderId="8" xfId="0" applyFont="1" applyBorder="1"/>
    <xf numFmtId="176" fontId="4" fillId="3" borderId="9" xfId="0" applyNumberFormat="1" applyFont="1" applyFill="1" applyBorder="1" applyAlignment="1">
      <alignment horizontal="center"/>
    </xf>
    <xf numFmtId="177" fontId="4" fillId="3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77" fontId="5" fillId="4" borderId="9" xfId="0" applyNumberFormat="1" applyFont="1" applyFill="1" applyBorder="1" applyAlignment="1">
      <alignment horizontal="center"/>
    </xf>
    <xf numFmtId="0" fontId="4" fillId="0" borderId="3" xfId="0" applyFont="1" applyBorder="1"/>
    <xf numFmtId="177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8" fillId="21" borderId="12" xfId="0" applyFont="1" applyFill="1" applyBorder="1" applyAlignment="1">
      <alignment horizontal="center"/>
    </xf>
    <xf numFmtId="177" fontId="29" fillId="24" borderId="13" xfId="0" applyNumberFormat="1" applyFont="1" applyFill="1" applyBorder="1" applyAlignment="1">
      <alignment horizontal="center"/>
    </xf>
    <xf numFmtId="177" fontId="10" fillId="0" borderId="14" xfId="0" applyNumberFormat="1" applyFont="1" applyBorder="1"/>
    <xf numFmtId="176" fontId="4" fillId="0" borderId="0" xfId="0" applyNumberFormat="1" applyFont="1" applyAlignment="1">
      <alignment horizontal="center"/>
    </xf>
    <xf numFmtId="0" fontId="30" fillId="0" borderId="3" xfId="0" applyFont="1" applyBorder="1" applyAlignment="1">
      <alignment horizontal="center"/>
    </xf>
    <xf numFmtId="177" fontId="31" fillId="0" borderId="15" xfId="0" applyNumberFormat="1" applyFont="1" applyBorder="1" applyAlignment="1">
      <alignment horizontal="center"/>
    </xf>
    <xf numFmtId="0" fontId="4" fillId="0" borderId="16" xfId="0" applyFont="1" applyBorder="1"/>
    <xf numFmtId="0" fontId="5" fillId="22" borderId="9" xfId="0" applyFont="1" applyFill="1" applyBorder="1" applyAlignment="1">
      <alignment vertical="center"/>
    </xf>
    <xf numFmtId="0" fontId="5" fillId="22" borderId="9" xfId="0" applyFont="1" applyFill="1" applyBorder="1" applyAlignment="1">
      <alignment vertical="center" wrapText="1"/>
    </xf>
    <xf numFmtId="0" fontId="4" fillId="0" borderId="17" xfId="0" applyFont="1" applyBorder="1"/>
    <xf numFmtId="0" fontId="27" fillId="0" borderId="0" xfId="0" applyFont="1"/>
    <xf numFmtId="0" fontId="32" fillId="0" borderId="0" xfId="0" applyFont="1"/>
    <xf numFmtId="0" fontId="33" fillId="20" borderId="9" xfId="0" applyFont="1" applyFill="1" applyBorder="1"/>
    <xf numFmtId="0" fontId="9" fillId="0" borderId="8" xfId="0" applyFont="1" applyBorder="1"/>
    <xf numFmtId="0" fontId="4" fillId="3" borderId="9" xfId="0" applyFont="1" applyFill="1" applyBorder="1"/>
    <xf numFmtId="0" fontId="4" fillId="0" borderId="2" xfId="0" applyFont="1" applyBorder="1"/>
    <xf numFmtId="0" fontId="34" fillId="25" borderId="9" xfId="0" applyFont="1" applyFill="1" applyBorder="1"/>
    <xf numFmtId="0" fontId="35" fillId="0" borderId="11" xfId="0" applyFont="1" applyBorder="1"/>
    <xf numFmtId="0" fontId="4" fillId="0" borderId="0" xfId="0" applyFont="1" applyAlignment="1">
      <alignment horizontal="left"/>
    </xf>
    <xf numFmtId="0" fontId="4" fillId="0" borderId="11" xfId="0" applyFont="1" applyBorder="1"/>
    <xf numFmtId="0" fontId="36" fillId="26" borderId="9" xfId="0" applyFont="1" applyFill="1" applyBorder="1"/>
    <xf numFmtId="177" fontId="5" fillId="24" borderId="9" xfId="0" applyNumberFormat="1" applyFont="1" applyFill="1" applyBorder="1"/>
    <xf numFmtId="0" fontId="37" fillId="27" borderId="2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5" fontId="38" fillId="0" borderId="22" xfId="0" applyNumberFormat="1" applyFont="1" applyBorder="1" applyAlignment="1">
      <alignment horizontal="center" vertical="center"/>
    </xf>
    <xf numFmtId="4" fontId="39" fillId="0" borderId="20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4" fontId="39" fillId="0" borderId="2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/>
    <xf numFmtId="0" fontId="14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85" fontId="38" fillId="0" borderId="17" xfId="0" applyNumberFormat="1" applyFont="1" applyBorder="1"/>
    <xf numFmtId="4" fontId="39" fillId="0" borderId="3" xfId="0" applyNumberFormat="1" applyFont="1" applyBorder="1" applyAlignment="1">
      <alignment horizontal="center"/>
    </xf>
    <xf numFmtId="176" fontId="38" fillId="0" borderId="3" xfId="0" applyNumberFormat="1" applyFont="1" applyBorder="1"/>
    <xf numFmtId="176" fontId="39" fillId="0" borderId="3" xfId="0" applyNumberFormat="1" applyFont="1" applyBorder="1"/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76" fontId="0" fillId="0" borderId="0" xfId="0" applyNumberFormat="1" applyFont="1"/>
    <xf numFmtId="1" fontId="0" fillId="0" borderId="11" xfId="0" applyNumberFormat="1" applyFont="1" applyBorder="1" applyAlignment="1">
      <alignment horizontal="center"/>
    </xf>
    <xf numFmtId="4" fontId="39" fillId="0" borderId="0" xfId="0" applyNumberFormat="1" applyFont="1" applyAlignment="1">
      <alignment horizontal="center"/>
    </xf>
    <xf numFmtId="176" fontId="38" fillId="0" borderId="0" xfId="0" applyNumberFormat="1" applyFont="1"/>
    <xf numFmtId="176" fontId="39" fillId="0" borderId="0" xfId="0" applyNumberFormat="1" applyFont="1"/>
    <xf numFmtId="0" fontId="0" fillId="0" borderId="0" xfId="0" applyFont="1" applyAlignment="1">
      <alignment horizontal="left" vertical="center"/>
    </xf>
    <xf numFmtId="185" fontId="38" fillId="0" borderId="8" xfId="0" applyNumberFormat="1" applyFont="1" applyBorder="1"/>
    <xf numFmtId="0" fontId="0" fillId="3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176" fontId="0" fillId="2" borderId="2" xfId="0" applyNumberFormat="1" applyFont="1" applyFill="1" applyBorder="1"/>
    <xf numFmtId="4" fontId="39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14" fillId="0" borderId="3" xfId="0" applyFont="1" applyBorder="1"/>
    <xf numFmtId="176" fontId="0" fillId="0" borderId="3" xfId="0" applyNumberFormat="1" applyFont="1" applyBorder="1"/>
    <xf numFmtId="0" fontId="0" fillId="0" borderId="19" xfId="0" applyFont="1" applyBorder="1" applyAlignment="1">
      <alignment horizontal="center"/>
    </xf>
    <xf numFmtId="186" fontId="39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85" fontId="40" fillId="0" borderId="0" xfId="0" applyNumberFormat="1" applyFont="1"/>
    <xf numFmtId="4" fontId="4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77" fontId="4" fillId="0" borderId="0" xfId="0" applyNumberFormat="1" applyFont="1"/>
    <xf numFmtId="1" fontId="5" fillId="17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 horizontal="center" wrapText="1"/>
    </xf>
    <xf numFmtId="0" fontId="4" fillId="0" borderId="0" xfId="0" applyFont="1"/>
    <xf numFmtId="0" fontId="2" fillId="3" borderId="0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22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37" fillId="27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185" fontId="38" fillId="0" borderId="8" xfId="0" applyNumberFormat="1" applyFont="1" applyFill="1" applyBorder="1"/>
    <xf numFmtId="4" fontId="39" fillId="0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/>
    <xf numFmtId="4" fontId="18" fillId="0" borderId="0" xfId="0" applyNumberFormat="1" applyFont="1" applyFill="1" applyBorder="1" applyAlignment="1">
      <alignment horizontal="center"/>
    </xf>
    <xf numFmtId="186" fontId="39" fillId="0" borderId="0" xfId="0" applyNumberFormat="1" applyFont="1" applyFill="1" applyBorder="1" applyAlignment="1">
      <alignment horizontal="center"/>
    </xf>
    <xf numFmtId="185" fontId="38" fillId="0" borderId="16" xfId="0" applyNumberFormat="1" applyFont="1" applyFill="1" applyBorder="1" applyAlignment="1">
      <alignment horizontal="right"/>
    </xf>
    <xf numFmtId="176" fontId="38" fillId="0" borderId="2" xfId="0" applyNumberFormat="1" applyFont="1" applyFill="1" applyBorder="1"/>
    <xf numFmtId="4" fontId="39" fillId="0" borderId="2" xfId="0" applyNumberFormat="1" applyFont="1" applyFill="1" applyBorder="1" applyAlignment="1">
      <alignment horizontal="center"/>
    </xf>
    <xf numFmtId="176" fontId="39" fillId="0" borderId="0" xfId="0" applyNumberFormat="1" applyFont="1" applyFill="1" applyBorder="1"/>
    <xf numFmtId="0" fontId="43" fillId="2" borderId="2" xfId="0" applyFont="1" applyFill="1" applyBorder="1"/>
    <xf numFmtId="176" fontId="0" fillId="28" borderId="2" xfId="0" applyNumberFormat="1" applyFont="1" applyFill="1" applyBorder="1"/>
    <xf numFmtId="0" fontId="0" fillId="28" borderId="2" xfId="0" applyFont="1" applyFill="1" applyBorder="1" applyAlignment="1">
      <alignment horizontal="center"/>
    </xf>
    <xf numFmtId="0" fontId="0" fillId="28" borderId="18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28" borderId="9" xfId="0" applyFont="1" applyFill="1" applyBorder="1"/>
    <xf numFmtId="0" fontId="4" fillId="28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177" fontId="4" fillId="0" borderId="9" xfId="0" applyNumberFormat="1" applyFont="1" applyFill="1" applyBorder="1" applyAlignment="1">
      <alignment horizontal="center"/>
    </xf>
    <xf numFmtId="177" fontId="4" fillId="28" borderId="9" xfId="0" applyNumberFormat="1" applyFont="1" applyFill="1" applyBorder="1" applyAlignment="1">
      <alignment horizontal="center"/>
    </xf>
    <xf numFmtId="0" fontId="24" fillId="28" borderId="9" xfId="0" applyFont="1" applyFill="1" applyBorder="1" applyAlignment="1">
      <alignment horizontal="left"/>
    </xf>
    <xf numFmtId="0" fontId="4" fillId="0" borderId="9" xfId="0" applyFont="1" applyFill="1" applyBorder="1"/>
    <xf numFmtId="177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4" fillId="29" borderId="0" xfId="0" applyFont="1" applyFill="1" applyBorder="1" applyAlignment="1">
      <alignment horizontal="left"/>
    </xf>
    <xf numFmtId="177" fontId="5" fillId="30" borderId="0" xfId="0" applyNumberFormat="1" applyFont="1" applyFill="1" applyBorder="1" applyAlignment="1"/>
  </cellXfs>
  <cellStyles count="1">
    <cellStyle name="標準" xfId="0" builtinId="0"/>
  </cellStyles>
  <dxfs count="1">
    <dxf>
      <font>
        <b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68580</xdr:colOff>
      <xdr:row>40</xdr:row>
      <xdr:rowOff>68580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68580</xdr:colOff>
      <xdr:row>40</xdr:row>
      <xdr:rowOff>68580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7" sqref="A27"/>
    </sheetView>
  </sheetViews>
  <sheetFormatPr defaultColWidth="17.33203125" defaultRowHeight="15" customHeight="1"/>
  <cols>
    <col min="1" max="1" width="41" customWidth="1"/>
    <col min="2" max="2" width="9.44140625" customWidth="1"/>
    <col min="3" max="3" width="10.44140625" customWidth="1"/>
    <col min="4" max="4" width="10.88671875" customWidth="1"/>
    <col min="5" max="5" width="9.44140625" customWidth="1"/>
    <col min="6" max="6" width="9" customWidth="1"/>
    <col min="7" max="7" width="9.33203125" customWidth="1"/>
    <col min="8" max="8" width="10.5546875" customWidth="1"/>
    <col min="9" max="9" width="9.33203125" customWidth="1"/>
    <col min="10" max="10" width="8.44140625" customWidth="1"/>
    <col min="11" max="11" width="7.5546875" customWidth="1"/>
    <col min="12" max="12" width="8.33203125" customWidth="1"/>
    <col min="13" max="13" width="7.6640625" customWidth="1"/>
    <col min="14" max="14" width="10.88671875" customWidth="1"/>
    <col min="15" max="16" width="10.109375" customWidth="1"/>
    <col min="17" max="17" width="8.6640625" customWidth="1"/>
    <col min="18" max="18" width="9" customWidth="1"/>
    <col min="19" max="19" width="20.88671875" customWidth="1"/>
  </cols>
  <sheetData>
    <row r="1" spans="1:26" ht="27.75" customHeight="1">
      <c r="A1" s="252"/>
      <c r="B1" s="243"/>
      <c r="C1" s="243"/>
      <c r="D1" s="243"/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7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3"/>
    </row>
    <row r="2" spans="1:26" ht="15" customHeight="1">
      <c r="A2" s="248" t="s">
        <v>16</v>
      </c>
      <c r="B2" s="244"/>
      <c r="C2" s="244"/>
      <c r="D2" s="244"/>
      <c r="E2" s="8">
        <f>+'Formula and Summary'!G17</f>
        <v>35816.806923734955</v>
      </c>
      <c r="F2" s="8">
        <f>+'Formula and Summary'!E17</f>
        <v>48438.397186955059</v>
      </c>
      <c r="G2" s="13">
        <f>+'Formula and Summary'!C23</f>
        <v>5000</v>
      </c>
      <c r="H2" s="14">
        <f>+'Formula and Summary'!J17</f>
        <v>35374.576933949713</v>
      </c>
      <c r="I2" s="13">
        <f>+'Formula and Summary'!C24</f>
        <v>5000</v>
      </c>
      <c r="J2" s="13">
        <f>+'Formula and Summary'!C26</f>
        <v>5000</v>
      </c>
      <c r="K2" s="13">
        <f>+'Formula and Summary'!C22</f>
        <v>2500</v>
      </c>
      <c r="L2" s="13">
        <f>+'Formula and Summary'!C25</f>
        <v>5000</v>
      </c>
      <c r="M2" s="13">
        <f>+'Formula and Summary'!C21</f>
        <v>5000</v>
      </c>
      <c r="N2" s="8">
        <f>+'Formula and Summary'!C17</f>
        <v>365276.09858789569</v>
      </c>
      <c r="O2" s="8">
        <f>+'Formula and Summary'!D17</f>
        <v>63846.780856932557</v>
      </c>
      <c r="P2" s="8">
        <f>+'Formula and Summary'!I17</f>
        <v>24177.725663062243</v>
      </c>
      <c r="Q2" s="8">
        <f>+'Formula and Summary'!F17</f>
        <v>23490.07623748498</v>
      </c>
      <c r="R2" s="8">
        <f>+'Formula and Summary'!H17</f>
        <v>48143.537609984931</v>
      </c>
      <c r="S2" s="17">
        <f t="shared" ref="S2:S4" si="0">SUM(E2:R2)</f>
        <v>672064</v>
      </c>
    </row>
    <row r="3" spans="1:26" ht="15" customHeight="1">
      <c r="A3" s="249" t="s">
        <v>23</v>
      </c>
      <c r="B3" s="244"/>
      <c r="C3" s="244"/>
      <c r="D3" s="244"/>
      <c r="E3" s="17">
        <f t="shared" ref="E3:R3" si="1">SUM(E6:E35)+E68</f>
        <v>38250</v>
      </c>
      <c r="F3" s="17">
        <f t="shared" si="1"/>
        <v>51781.25</v>
      </c>
      <c r="G3" s="17">
        <f t="shared" si="1"/>
        <v>0</v>
      </c>
      <c r="H3" s="17">
        <f t="shared" si="1"/>
        <v>0</v>
      </c>
      <c r="I3" s="17">
        <f t="shared" si="1"/>
        <v>0</v>
      </c>
      <c r="J3" s="17">
        <f t="shared" si="1"/>
        <v>0</v>
      </c>
      <c r="K3" s="17">
        <f t="shared" si="1"/>
        <v>0</v>
      </c>
      <c r="L3" s="17">
        <f t="shared" si="1"/>
        <v>0</v>
      </c>
      <c r="M3" s="17">
        <f t="shared" si="1"/>
        <v>0</v>
      </c>
      <c r="N3" s="17">
        <f t="shared" si="1"/>
        <v>367200</v>
      </c>
      <c r="O3" s="17">
        <f t="shared" si="1"/>
        <v>70331.25</v>
      </c>
      <c r="P3" s="17">
        <f t="shared" si="1"/>
        <v>21250</v>
      </c>
      <c r="Q3" s="17">
        <f t="shared" si="1"/>
        <v>26250</v>
      </c>
      <c r="R3" s="17">
        <f t="shared" si="1"/>
        <v>64062.5</v>
      </c>
      <c r="S3" s="17">
        <f t="shared" si="0"/>
        <v>639125</v>
      </c>
    </row>
    <row r="4" spans="1:26" ht="15" customHeight="1">
      <c r="A4" s="248" t="s">
        <v>25</v>
      </c>
      <c r="B4" s="244"/>
      <c r="C4" s="244"/>
      <c r="D4" s="244"/>
      <c r="E4" s="21">
        <f t="shared" ref="E4:R4" si="2">-(E2-E3)</f>
        <v>2433.1930762650445</v>
      </c>
      <c r="F4" s="21">
        <f t="shared" si="2"/>
        <v>3342.8528130449413</v>
      </c>
      <c r="G4" s="21">
        <f t="shared" si="2"/>
        <v>-5000</v>
      </c>
      <c r="H4" s="21">
        <f t="shared" si="2"/>
        <v>-35374.576933949713</v>
      </c>
      <c r="I4" s="21">
        <f t="shared" si="2"/>
        <v>-5000</v>
      </c>
      <c r="J4" s="21">
        <f t="shared" si="2"/>
        <v>-5000</v>
      </c>
      <c r="K4" s="21">
        <f t="shared" si="2"/>
        <v>-2500</v>
      </c>
      <c r="L4" s="21">
        <f t="shared" si="2"/>
        <v>-5000</v>
      </c>
      <c r="M4" s="21">
        <f t="shared" si="2"/>
        <v>-5000</v>
      </c>
      <c r="N4" s="21">
        <f t="shared" si="2"/>
        <v>1923.9014121043147</v>
      </c>
      <c r="O4" s="21">
        <f t="shared" si="2"/>
        <v>6484.4691430674429</v>
      </c>
      <c r="P4" s="21">
        <f t="shared" si="2"/>
        <v>-2927.7256630622433</v>
      </c>
      <c r="Q4" s="21">
        <f t="shared" si="2"/>
        <v>2759.9237625150199</v>
      </c>
      <c r="R4" s="21">
        <f t="shared" si="2"/>
        <v>15918.962390015069</v>
      </c>
      <c r="S4" s="17">
        <f t="shared" si="0"/>
        <v>-32939.000000000124</v>
      </c>
    </row>
    <row r="5" spans="1:26" ht="15" customHeight="1">
      <c r="A5" s="24" t="s">
        <v>28</v>
      </c>
      <c r="B5" s="26" t="s">
        <v>30</v>
      </c>
      <c r="C5" s="26" t="s">
        <v>32</v>
      </c>
      <c r="D5" s="26" t="s">
        <v>33</v>
      </c>
      <c r="E5" s="245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3"/>
    </row>
    <row r="6" spans="1:26" ht="15" customHeight="1">
      <c r="A6" s="28" t="s">
        <v>34</v>
      </c>
      <c r="B6" s="30">
        <f>'FY2016 monetary budget'!F3</f>
        <v>100</v>
      </c>
      <c r="C6" s="31">
        <f t="shared" ref="C6:C11" si="3">SUM(E6:R6)</f>
        <v>100</v>
      </c>
      <c r="D6" s="33">
        <f t="shared" ref="D6:D12" si="4">-(B6-C6)</f>
        <v>0</v>
      </c>
      <c r="E6" s="17"/>
      <c r="F6" s="17"/>
      <c r="G6" s="17"/>
      <c r="H6" s="17"/>
      <c r="I6" s="17"/>
      <c r="J6" s="17"/>
      <c r="K6" s="17"/>
      <c r="L6" s="17"/>
      <c r="M6" s="17"/>
      <c r="N6" s="36">
        <v>100</v>
      </c>
      <c r="O6" s="17"/>
      <c r="P6" s="17"/>
      <c r="Q6" s="17"/>
      <c r="R6" s="17"/>
      <c r="S6" s="3"/>
    </row>
    <row r="7" spans="1:26" ht="15" customHeight="1">
      <c r="A7" s="28" t="s">
        <v>39</v>
      </c>
      <c r="B7" s="30">
        <f>'FY2016 monetary budget'!F4</f>
        <v>100</v>
      </c>
      <c r="C7" s="31">
        <f t="shared" si="3"/>
        <v>100</v>
      </c>
      <c r="D7" s="33">
        <f t="shared" si="4"/>
        <v>0</v>
      </c>
      <c r="E7" s="17"/>
      <c r="F7" s="17"/>
      <c r="G7" s="17"/>
      <c r="H7" s="17"/>
      <c r="I7" s="17"/>
      <c r="J7" s="17"/>
      <c r="K7" s="17"/>
      <c r="L7" s="17"/>
      <c r="M7" s="17"/>
      <c r="N7" s="36">
        <v>100</v>
      </c>
      <c r="O7" s="17"/>
      <c r="P7" s="17"/>
      <c r="Q7" s="17"/>
      <c r="R7" s="17"/>
      <c r="S7" s="17"/>
    </row>
    <row r="8" spans="1:26" ht="15" customHeight="1">
      <c r="A8" s="28" t="s">
        <v>40</v>
      </c>
      <c r="B8" s="30">
        <f>'FY2016 monetary budget'!F5</f>
        <v>2400</v>
      </c>
      <c r="C8" s="31">
        <f t="shared" si="3"/>
        <v>2400</v>
      </c>
      <c r="D8" s="33">
        <f t="shared" si="4"/>
        <v>0</v>
      </c>
      <c r="E8" s="17"/>
      <c r="F8" s="17"/>
      <c r="G8" s="17"/>
      <c r="H8" s="17"/>
      <c r="I8" s="17"/>
      <c r="J8" s="17"/>
      <c r="K8" s="17"/>
      <c r="L8" s="17"/>
      <c r="M8" s="17"/>
      <c r="N8" s="36">
        <v>1800</v>
      </c>
      <c r="O8" s="17">
        <v>600</v>
      </c>
      <c r="P8" s="17"/>
      <c r="Q8" s="17"/>
      <c r="R8" s="17"/>
      <c r="S8" s="3"/>
    </row>
    <row r="9" spans="1:26" ht="15" customHeight="1">
      <c r="A9" s="28" t="s">
        <v>41</v>
      </c>
      <c r="B9" s="30">
        <f>'FY2016 monetary budget'!F6</f>
        <v>20800</v>
      </c>
      <c r="C9" s="31">
        <f t="shared" si="3"/>
        <v>20800</v>
      </c>
      <c r="D9" s="33">
        <f t="shared" si="4"/>
        <v>0</v>
      </c>
      <c r="E9" s="17"/>
      <c r="F9" s="17"/>
      <c r="G9" s="17"/>
      <c r="H9" s="17"/>
      <c r="I9" s="17"/>
      <c r="J9" s="17"/>
      <c r="K9" s="17"/>
      <c r="L9" s="17"/>
      <c r="M9" s="17"/>
      <c r="N9" s="36">
        <v>20800</v>
      </c>
      <c r="O9" s="17"/>
      <c r="P9" s="17"/>
      <c r="Q9" s="17"/>
      <c r="R9" s="17"/>
      <c r="S9" s="3"/>
    </row>
    <row r="10" spans="1:26" ht="15" customHeight="1">
      <c r="A10" s="28" t="s">
        <v>43</v>
      </c>
      <c r="B10" s="30">
        <f>'FY2016 monetary budget'!F7</f>
        <v>0</v>
      </c>
      <c r="C10" s="31">
        <f t="shared" si="3"/>
        <v>0</v>
      </c>
      <c r="D10" s="33">
        <f t="shared" si="4"/>
        <v>0</v>
      </c>
      <c r="E10" s="17"/>
      <c r="F10" s="17"/>
      <c r="G10" s="17"/>
      <c r="H10" s="17"/>
      <c r="I10" s="17"/>
      <c r="J10" s="17"/>
      <c r="K10" s="17"/>
      <c r="L10" s="17"/>
      <c r="M10" s="17"/>
      <c r="N10" s="36"/>
      <c r="O10" s="17"/>
      <c r="P10" s="17"/>
      <c r="Q10" s="17"/>
      <c r="R10" s="17"/>
      <c r="S10" s="3"/>
    </row>
    <row r="11" spans="1:26" ht="15" customHeight="1">
      <c r="A11" s="28" t="s">
        <v>44</v>
      </c>
      <c r="B11" s="30">
        <f>'FY2016 monetary budget'!F9</f>
        <v>100</v>
      </c>
      <c r="C11" s="31">
        <f t="shared" si="3"/>
        <v>100</v>
      </c>
      <c r="D11" s="33">
        <f t="shared" si="4"/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36">
        <v>100</v>
      </c>
      <c r="O11" s="17"/>
      <c r="P11" s="17"/>
      <c r="Q11" s="17"/>
      <c r="R11" s="17"/>
      <c r="S11" s="3"/>
    </row>
    <row r="12" spans="1:26" ht="15" customHeight="1">
      <c r="A12" s="24" t="s">
        <v>45</v>
      </c>
      <c r="B12" s="39">
        <v>23500</v>
      </c>
      <c r="C12" s="39">
        <f>SUM(C6:C11)</f>
        <v>23500</v>
      </c>
      <c r="D12" s="40">
        <f t="shared" si="4"/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41"/>
      <c r="O12" s="17"/>
      <c r="P12" s="17"/>
      <c r="Q12" s="17"/>
      <c r="R12" s="17"/>
      <c r="S12" s="3"/>
    </row>
    <row r="13" spans="1:26" ht="15" customHeight="1">
      <c r="A13" s="3"/>
      <c r="B13" s="17"/>
      <c r="C13" s="17"/>
      <c r="D13" s="3"/>
      <c r="E13" s="17"/>
      <c r="F13" s="17"/>
      <c r="G13" s="17"/>
      <c r="H13" s="17"/>
      <c r="I13" s="17"/>
      <c r="J13" s="17"/>
      <c r="K13" s="17"/>
      <c r="L13" s="17"/>
      <c r="M13" s="17"/>
      <c r="N13" s="41"/>
      <c r="O13" s="17"/>
      <c r="P13" s="17"/>
      <c r="Q13" s="17"/>
      <c r="R13" s="17"/>
      <c r="S13" s="3"/>
    </row>
    <row r="14" spans="1:26" ht="15" customHeight="1">
      <c r="A14" s="43" t="s">
        <v>48</v>
      </c>
      <c r="B14" s="44" t="s">
        <v>30</v>
      </c>
      <c r="C14" s="44" t="s">
        <v>32</v>
      </c>
      <c r="D14" s="46" t="s">
        <v>33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"/>
    </row>
    <row r="15" spans="1:26" ht="15" customHeight="1">
      <c r="A15" s="30" t="s">
        <v>49</v>
      </c>
      <c r="B15" s="30">
        <f>'FY2016 monetary budget'!F24</f>
        <v>1500</v>
      </c>
      <c r="C15" s="49">
        <f>SUM(E15:R15)</f>
        <v>0</v>
      </c>
      <c r="D15" s="51">
        <f t="shared" ref="D15:D17" si="5">-(B15-C15)</f>
        <v>-1500</v>
      </c>
      <c r="E15" s="3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 t="s">
        <v>53</v>
      </c>
    </row>
    <row r="16" spans="1:26" ht="15" customHeight="1">
      <c r="A16" s="292" t="s">
        <v>54</v>
      </c>
      <c r="B16" s="30">
        <v>2800</v>
      </c>
      <c r="C16" s="49">
        <v>0</v>
      </c>
      <c r="D16" s="51">
        <f t="shared" si="5"/>
        <v>-2800</v>
      </c>
      <c r="E16" s="3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5" t="s">
        <v>53</v>
      </c>
      <c r="T16" s="1"/>
      <c r="U16" s="1"/>
      <c r="V16" s="1"/>
      <c r="W16" s="1"/>
      <c r="X16" s="1"/>
      <c r="Y16" s="1"/>
      <c r="Z16" s="1"/>
    </row>
    <row r="17" spans="1:19" ht="15" customHeight="1">
      <c r="A17" s="43" t="s">
        <v>45</v>
      </c>
      <c r="B17" s="57">
        <f>SUM(B15+B16)</f>
        <v>4300</v>
      </c>
      <c r="C17" s="57">
        <v>0</v>
      </c>
      <c r="D17" s="57">
        <f t="shared" si="5"/>
        <v>-4300</v>
      </c>
      <c r="E17" s="41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"/>
    </row>
    <row r="18" spans="1:19" ht="15" customHeight="1">
      <c r="A18" s="3"/>
      <c r="B18" s="8"/>
      <c r="C18" s="17"/>
      <c r="D18" s="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3"/>
    </row>
    <row r="19" spans="1:19" ht="15" customHeight="1">
      <c r="A19" s="47" t="s">
        <v>50</v>
      </c>
      <c r="B19" s="48" t="s">
        <v>30</v>
      </c>
      <c r="C19" s="48" t="s">
        <v>32</v>
      </c>
      <c r="D19" s="48" t="s">
        <v>33</v>
      </c>
      <c r="E19" s="245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3"/>
    </row>
    <row r="20" spans="1:19" ht="15" customHeight="1">
      <c r="A20" s="50" t="s">
        <v>52</v>
      </c>
      <c r="B20" s="52">
        <f>'FY2016 monetary budget'!F29</f>
        <v>2200</v>
      </c>
      <c r="C20" s="49">
        <f t="shared" ref="C20:C24" si="6">SUM(E20:R20)</f>
        <v>2200</v>
      </c>
      <c r="D20" s="51">
        <f t="shared" ref="D20:D25" si="7">-(B20-C20)</f>
        <v>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2200</v>
      </c>
      <c r="P20" s="17"/>
      <c r="Q20" s="17"/>
      <c r="R20" s="17"/>
      <c r="S20" s="3"/>
    </row>
    <row r="21" spans="1:19" ht="15" customHeight="1">
      <c r="A21" s="50" t="s">
        <v>56</v>
      </c>
      <c r="B21" s="52">
        <f>('FY2016 monetary budget'!F27+'FY2016 monetary budget'!F28)</f>
        <v>19500</v>
      </c>
      <c r="C21" s="49">
        <f t="shared" si="6"/>
        <v>19500</v>
      </c>
      <c r="D21" s="51">
        <f t="shared" si="7"/>
        <v>0</v>
      </c>
      <c r="E21" s="17"/>
      <c r="F21" s="17"/>
      <c r="G21" s="17"/>
      <c r="H21" s="17"/>
      <c r="I21" s="17"/>
      <c r="J21" s="17"/>
      <c r="K21" s="17"/>
      <c r="L21" s="17"/>
      <c r="M21" s="17"/>
      <c r="N21" s="17">
        <v>19500</v>
      </c>
      <c r="O21" s="17"/>
      <c r="P21" s="17"/>
      <c r="Q21" s="17"/>
      <c r="R21" s="17"/>
      <c r="S21" s="3"/>
    </row>
    <row r="22" spans="1:19" ht="15" customHeight="1">
      <c r="A22" s="50" t="s">
        <v>57</v>
      </c>
      <c r="B22" s="52">
        <f>('FY2016 monetary budget'!F27+'FY2016 monetary budget'!F28)</f>
        <v>19500</v>
      </c>
      <c r="C22" s="49">
        <f t="shared" si="6"/>
        <v>19500</v>
      </c>
      <c r="D22" s="51">
        <f t="shared" si="7"/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>
        <v>19500</v>
      </c>
      <c r="O22" s="17"/>
      <c r="P22" s="17"/>
      <c r="Q22" s="17"/>
      <c r="R22" s="17"/>
      <c r="S22" s="3"/>
    </row>
    <row r="23" spans="1:19" ht="15" customHeight="1">
      <c r="A23" s="50" t="s">
        <v>58</v>
      </c>
      <c r="B23" s="52">
        <f>('FY2016 monetary budget'!F27+'FY2016 monetary budget'!F28)</f>
        <v>19500</v>
      </c>
      <c r="C23" s="49">
        <f t="shared" si="6"/>
        <v>19500</v>
      </c>
      <c r="D23" s="51">
        <f t="shared" si="7"/>
        <v>0</v>
      </c>
      <c r="E23" s="17"/>
      <c r="F23" s="17">
        <v>9750</v>
      </c>
      <c r="G23" s="17"/>
      <c r="H23" s="17"/>
      <c r="I23" s="17"/>
      <c r="J23" s="17"/>
      <c r="K23" s="17"/>
      <c r="L23" s="17"/>
      <c r="M23" s="17"/>
      <c r="N23" s="17"/>
      <c r="O23" s="17">
        <v>9750</v>
      </c>
      <c r="P23" s="17"/>
      <c r="Q23" s="3"/>
      <c r="R23" s="17"/>
      <c r="S23" s="3"/>
    </row>
    <row r="24" spans="1:19" ht="15" customHeight="1">
      <c r="A24" s="50" t="s">
        <v>59</v>
      </c>
      <c r="B24" s="52">
        <f>('FY2016 monetary budget'!F27+'FY2016 monetary budget'!F28)</f>
        <v>19500</v>
      </c>
      <c r="C24" s="49">
        <f t="shared" si="6"/>
        <v>19500</v>
      </c>
      <c r="D24" s="51">
        <f t="shared" si="7"/>
        <v>0</v>
      </c>
      <c r="E24" s="17">
        <v>19500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3"/>
    </row>
    <row r="25" spans="1:19" ht="14.25" customHeight="1">
      <c r="A25" s="47" t="s">
        <v>45</v>
      </c>
      <c r="B25" s="60">
        <f t="shared" ref="B25:C25" si="8">SUM(B20:B24)</f>
        <v>80200</v>
      </c>
      <c r="C25" s="61">
        <f t="shared" si="8"/>
        <v>80200</v>
      </c>
      <c r="D25" s="62">
        <f t="shared" si="7"/>
        <v>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3"/>
    </row>
    <row r="26" spans="1:19" ht="14.25" customHeight="1">
      <c r="A26" s="3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25" customHeight="1">
      <c r="A27" s="63" t="s">
        <v>61</v>
      </c>
      <c r="B27" s="64" t="s">
        <v>30</v>
      </c>
      <c r="C27" s="64" t="s">
        <v>32</v>
      </c>
      <c r="D27" s="64" t="s">
        <v>33</v>
      </c>
      <c r="E27" s="251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3"/>
    </row>
    <row r="28" spans="1:19" ht="14.25" customHeight="1">
      <c r="A28" s="66" t="s">
        <v>62</v>
      </c>
      <c r="B28" s="67">
        <f>'2016 MARCOM Budget'!J4</f>
        <v>48000</v>
      </c>
      <c r="C28" s="69">
        <f t="shared" ref="C28:C36" si="9">SUM(E28:R28)</f>
        <v>0</v>
      </c>
      <c r="D28" s="70">
        <f t="shared" ref="D28:D37" si="10">-(B28-C28)</f>
        <v>-48000</v>
      </c>
      <c r="E28" s="36"/>
      <c r="F28" s="36"/>
      <c r="G28" s="36"/>
      <c r="H28" s="41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53" t="s">
        <v>53</v>
      </c>
    </row>
    <row r="29" spans="1:19" ht="14.25" customHeight="1">
      <c r="A29" s="66" t="s">
        <v>65</v>
      </c>
      <c r="B29" s="67">
        <f>'2016 MARCOM Budget'!J7</f>
        <v>750</v>
      </c>
      <c r="C29" s="69">
        <f t="shared" si="9"/>
        <v>750</v>
      </c>
      <c r="D29" s="70">
        <f t="shared" si="10"/>
        <v>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v>750</v>
      </c>
      <c r="P29" s="41"/>
      <c r="Q29" s="41"/>
      <c r="R29" s="41"/>
      <c r="S29" s="72"/>
    </row>
    <row r="30" spans="1:19" ht="14.25" customHeight="1">
      <c r="A30" s="66" t="s">
        <v>69</v>
      </c>
      <c r="B30" s="67">
        <f>'2016 MARCOM Budget'!J12</f>
        <v>2000</v>
      </c>
      <c r="C30" s="69">
        <f t="shared" si="9"/>
        <v>0</v>
      </c>
      <c r="D30" s="70">
        <f t="shared" si="10"/>
        <v>-2000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53" t="s">
        <v>53</v>
      </c>
    </row>
    <row r="31" spans="1:19" ht="14.25" customHeight="1">
      <c r="A31" s="66" t="s">
        <v>71</v>
      </c>
      <c r="B31" s="67">
        <f>'2016 MARCOM Budget'!J15</f>
        <v>0</v>
      </c>
      <c r="C31" s="69">
        <f t="shared" si="9"/>
        <v>0</v>
      </c>
      <c r="D31" s="70">
        <f t="shared" si="10"/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53" t="s">
        <v>53</v>
      </c>
    </row>
    <row r="32" spans="1:19" ht="14.25" customHeight="1">
      <c r="A32" s="66" t="s">
        <v>72</v>
      </c>
      <c r="B32" s="67">
        <f>'2016 MARCOM Budget'!J16</f>
        <v>0</v>
      </c>
      <c r="C32" s="69">
        <f t="shared" si="9"/>
        <v>0</v>
      </c>
      <c r="D32" s="70">
        <f t="shared" si="10"/>
        <v>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53" t="s">
        <v>74</v>
      </c>
    </row>
    <row r="33" spans="1:19" ht="14.25" customHeight="1">
      <c r="A33" s="66" t="s">
        <v>75</v>
      </c>
      <c r="B33" s="67">
        <f>'2016 MARCOM Budget'!J17</f>
        <v>2500</v>
      </c>
      <c r="C33" s="69">
        <f t="shared" si="9"/>
        <v>0</v>
      </c>
      <c r="D33" s="70">
        <f t="shared" si="10"/>
        <v>-2500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53" t="s">
        <v>53</v>
      </c>
    </row>
    <row r="34" spans="1:19" ht="14.25" customHeight="1">
      <c r="A34" s="66" t="s">
        <v>77</v>
      </c>
      <c r="B34" s="67">
        <f>'2016 MARCOM Budget'!H19</f>
        <v>3050</v>
      </c>
      <c r="C34" s="69">
        <f t="shared" si="9"/>
        <v>3050</v>
      </c>
      <c r="D34" s="70">
        <f t="shared" si="10"/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>
        <v>3050</v>
      </c>
      <c r="O34" s="17"/>
      <c r="P34" s="17"/>
      <c r="Q34" s="17"/>
      <c r="R34" s="17"/>
      <c r="S34" s="3"/>
    </row>
    <row r="35" spans="1:19" ht="14.25" customHeight="1">
      <c r="A35" s="66" t="s">
        <v>79</v>
      </c>
      <c r="B35" s="67">
        <f>'2016 MARCOM Budget'!H24</f>
        <v>0</v>
      </c>
      <c r="C35" s="69">
        <f t="shared" si="9"/>
        <v>0</v>
      </c>
      <c r="D35" s="70">
        <f t="shared" si="10"/>
        <v>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3"/>
    </row>
    <row r="36" spans="1:19" ht="15" customHeight="1">
      <c r="A36" s="66" t="s">
        <v>66</v>
      </c>
      <c r="B36" s="30">
        <f>'FY2016 monetary budget'!F23</f>
        <v>0</v>
      </c>
      <c r="C36" s="49">
        <f t="shared" si="9"/>
        <v>0</v>
      </c>
      <c r="D36" s="51">
        <f t="shared" si="10"/>
        <v>0</v>
      </c>
      <c r="E36" s="7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53" t="s">
        <v>53</v>
      </c>
    </row>
    <row r="37" spans="1:19" ht="14.25" customHeight="1">
      <c r="A37" s="63" t="s">
        <v>45</v>
      </c>
      <c r="B37" s="77">
        <f>SUM(B28:B35)</f>
        <v>56300</v>
      </c>
      <c r="C37" s="77">
        <f>SUM(C28:C34)</f>
        <v>3800</v>
      </c>
      <c r="D37" s="77">
        <f t="shared" si="10"/>
        <v>-52500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3"/>
    </row>
    <row r="38" spans="1:19" ht="14.25" customHeight="1">
      <c r="A38" s="3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4.25" customHeight="1">
      <c r="A39" s="81" t="s">
        <v>85</v>
      </c>
      <c r="B39" s="246" t="s">
        <v>87</v>
      </c>
      <c r="C39" s="243"/>
      <c r="D39" s="243"/>
      <c r="E39" s="247" t="s">
        <v>88</v>
      </c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3"/>
    </row>
    <row r="40" spans="1:19" ht="14.25" customHeight="1">
      <c r="A40" s="85" t="s">
        <v>89</v>
      </c>
      <c r="B40" s="87">
        <f>'FY2016 workload support'!D3</f>
        <v>24</v>
      </c>
      <c r="C40" s="89">
        <f t="shared" ref="C40:C66" si="11">SUM(E40:R40)</f>
        <v>24</v>
      </c>
      <c r="D40" s="89">
        <f t="shared" ref="D40:D66" si="12">-(B40-C40)</f>
        <v>0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>
        <v>24</v>
      </c>
      <c r="P40" s="91"/>
      <c r="Q40" s="91"/>
      <c r="R40" s="91"/>
      <c r="S40" s="3"/>
    </row>
    <row r="41" spans="1:19" ht="14.25" customHeight="1">
      <c r="A41" s="93" t="s">
        <v>92</v>
      </c>
      <c r="B41" s="87">
        <f>'FY2016 workload support'!D4</f>
        <v>21</v>
      </c>
      <c r="C41" s="89">
        <f t="shared" si="11"/>
        <v>21</v>
      </c>
      <c r="D41" s="89">
        <f t="shared" si="12"/>
        <v>0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>
        <v>21</v>
      </c>
      <c r="P41" s="91"/>
      <c r="Q41" s="91"/>
      <c r="R41" s="91"/>
      <c r="S41" s="3"/>
    </row>
    <row r="42" spans="1:19" ht="14.25" customHeight="1">
      <c r="A42" s="93" t="s">
        <v>93</v>
      </c>
      <c r="B42" s="87">
        <f>'FY2016 workload support'!D5</f>
        <v>21</v>
      </c>
      <c r="C42" s="89">
        <f t="shared" si="11"/>
        <v>21</v>
      </c>
      <c r="D42" s="89">
        <f t="shared" si="12"/>
        <v>0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>
        <v>21</v>
      </c>
      <c r="R42" s="91"/>
      <c r="S42" s="3"/>
    </row>
    <row r="43" spans="1:19" ht="14.25" customHeight="1">
      <c r="A43" s="93" t="s">
        <v>94</v>
      </c>
      <c r="B43" s="87">
        <f>'FY2016 workload support'!D6</f>
        <v>21</v>
      </c>
      <c r="C43" s="89">
        <f t="shared" si="11"/>
        <v>21</v>
      </c>
      <c r="D43" s="89">
        <f t="shared" si="12"/>
        <v>0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>
        <v>21</v>
      </c>
      <c r="Q43" s="91"/>
      <c r="R43" s="91"/>
      <c r="S43" s="3"/>
    </row>
    <row r="44" spans="1:19" ht="14.25" customHeight="1">
      <c r="A44" s="93" t="s">
        <v>95</v>
      </c>
      <c r="B44" s="87">
        <f>'FY2016 workload support'!D7</f>
        <v>21</v>
      </c>
      <c r="C44" s="89">
        <f t="shared" si="11"/>
        <v>21</v>
      </c>
      <c r="D44" s="89">
        <f t="shared" si="12"/>
        <v>0</v>
      </c>
      <c r="E44" s="91"/>
      <c r="F44" s="91">
        <v>21</v>
      </c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3"/>
    </row>
    <row r="45" spans="1:19" ht="14.25" customHeight="1">
      <c r="A45" s="93" t="s">
        <v>61</v>
      </c>
      <c r="B45" s="87">
        <f>'FY2016 workload support'!D8</f>
        <v>21</v>
      </c>
      <c r="C45" s="89">
        <f t="shared" si="11"/>
        <v>21</v>
      </c>
      <c r="D45" s="89">
        <f t="shared" si="12"/>
        <v>0</v>
      </c>
      <c r="E45" s="91"/>
      <c r="F45" s="91"/>
      <c r="G45" s="91"/>
      <c r="H45" s="91"/>
      <c r="I45" s="91"/>
      <c r="J45" s="91"/>
      <c r="K45" s="91"/>
      <c r="L45" s="91"/>
      <c r="M45" s="91"/>
      <c r="N45" s="91">
        <v>11</v>
      </c>
      <c r="O45" s="91"/>
      <c r="P45" s="91">
        <v>10</v>
      </c>
      <c r="Q45" s="91"/>
      <c r="R45" s="91"/>
      <c r="S45" s="3"/>
    </row>
    <row r="46" spans="1:19" ht="14.25" customHeight="1">
      <c r="A46" s="85" t="s">
        <v>97</v>
      </c>
      <c r="B46" s="87">
        <f>'FY2016 workload support'!D12</f>
        <v>20</v>
      </c>
      <c r="C46" s="89">
        <f t="shared" si="11"/>
        <v>20</v>
      </c>
      <c r="D46" s="89">
        <f t="shared" si="12"/>
        <v>0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>
        <v>20</v>
      </c>
      <c r="S46" s="3"/>
    </row>
    <row r="47" spans="1:19" ht="14.25" customHeight="1">
      <c r="A47" s="85" t="s">
        <v>98</v>
      </c>
      <c r="B47" s="87">
        <f>'FY2016 workload support'!D13</f>
        <v>50</v>
      </c>
      <c r="C47" s="89">
        <f t="shared" si="11"/>
        <v>50</v>
      </c>
      <c r="D47" s="89">
        <f t="shared" si="12"/>
        <v>0</v>
      </c>
      <c r="E47" s="91"/>
      <c r="F47" s="91"/>
      <c r="G47" s="91"/>
      <c r="H47" s="91"/>
      <c r="I47" s="91"/>
      <c r="J47" s="91"/>
      <c r="K47" s="91"/>
      <c r="L47" s="91"/>
      <c r="M47" s="91"/>
      <c r="N47" s="91">
        <v>50</v>
      </c>
      <c r="O47" s="91"/>
      <c r="P47" s="91"/>
      <c r="Q47" s="91"/>
      <c r="R47" s="91"/>
      <c r="S47" s="3"/>
    </row>
    <row r="48" spans="1:19" ht="14.25" customHeight="1">
      <c r="A48" s="85" t="s">
        <v>100</v>
      </c>
      <c r="B48" s="87">
        <f>'FY2016 workload support'!D14/4</f>
        <v>92.5</v>
      </c>
      <c r="C48" s="89">
        <f t="shared" si="11"/>
        <v>92.5</v>
      </c>
      <c r="D48" s="89">
        <f t="shared" si="12"/>
        <v>0</v>
      </c>
      <c r="E48" s="91"/>
      <c r="F48" s="91"/>
      <c r="G48" s="91"/>
      <c r="H48" s="91"/>
      <c r="I48" s="91"/>
      <c r="J48" s="91"/>
      <c r="K48" s="91"/>
      <c r="L48" s="91"/>
      <c r="M48" s="91"/>
      <c r="N48" s="91">
        <v>92.5</v>
      </c>
      <c r="O48" s="91"/>
      <c r="P48" s="91"/>
      <c r="Q48" s="91"/>
      <c r="R48" s="91"/>
      <c r="S48" s="3"/>
    </row>
    <row r="49" spans="1:26" ht="14.25" customHeight="1">
      <c r="A49" s="85" t="s">
        <v>101</v>
      </c>
      <c r="B49" s="87">
        <f>'FY2016 workload support'!D14/4</f>
        <v>92.5</v>
      </c>
      <c r="C49" s="89">
        <f t="shared" si="11"/>
        <v>92.5</v>
      </c>
      <c r="D49" s="89">
        <f t="shared" si="12"/>
        <v>0</v>
      </c>
      <c r="E49" s="91"/>
      <c r="F49" s="91"/>
      <c r="G49" s="91"/>
      <c r="H49" s="91"/>
      <c r="I49" s="91"/>
      <c r="J49" s="91"/>
      <c r="K49" s="91"/>
      <c r="L49" s="91"/>
      <c r="M49" s="91"/>
      <c r="N49" s="91">
        <v>92.5</v>
      </c>
      <c r="O49" s="91"/>
      <c r="P49" s="91"/>
      <c r="Q49" s="91"/>
      <c r="R49" s="91"/>
      <c r="S49" s="3"/>
    </row>
    <row r="50" spans="1:26" ht="14.25" customHeight="1">
      <c r="A50" s="85" t="s">
        <v>102</v>
      </c>
      <c r="B50" s="87">
        <f>'FY2016 workload support'!D14/4</f>
        <v>92.5</v>
      </c>
      <c r="C50" s="89">
        <f t="shared" si="11"/>
        <v>92.5</v>
      </c>
      <c r="D50" s="89">
        <f t="shared" si="12"/>
        <v>0</v>
      </c>
      <c r="E50" s="91"/>
      <c r="F50" s="91">
        <v>46.25</v>
      </c>
      <c r="G50" s="91"/>
      <c r="H50" s="91"/>
      <c r="I50" s="91"/>
      <c r="J50" s="91"/>
      <c r="K50" s="91"/>
      <c r="L50" s="91"/>
      <c r="M50" s="91"/>
      <c r="N50" s="91"/>
      <c r="O50" s="91">
        <v>46.25</v>
      </c>
      <c r="P50" s="91"/>
      <c r="Q50" s="91"/>
      <c r="R50" s="91"/>
      <c r="S50" s="3"/>
    </row>
    <row r="51" spans="1:26" ht="14.25" customHeight="1">
      <c r="A51" s="85" t="s">
        <v>103</v>
      </c>
      <c r="B51" s="87">
        <f>'FY2016 workload support'!D14/4</f>
        <v>92.5</v>
      </c>
      <c r="C51" s="89">
        <f t="shared" si="11"/>
        <v>92.5</v>
      </c>
      <c r="D51" s="89">
        <f t="shared" si="12"/>
        <v>0</v>
      </c>
      <c r="E51" s="91">
        <v>10</v>
      </c>
      <c r="F51" s="91"/>
      <c r="G51" s="91"/>
      <c r="H51" s="91"/>
      <c r="I51" s="91"/>
      <c r="J51" s="91"/>
      <c r="K51" s="91"/>
      <c r="L51" s="91"/>
      <c r="M51" s="91"/>
      <c r="N51" s="104"/>
      <c r="O51" s="91"/>
      <c r="P51" s="91"/>
      <c r="Q51" s="91"/>
      <c r="R51" s="91">
        <v>82.5</v>
      </c>
      <c r="S51" s="3"/>
    </row>
    <row r="52" spans="1:26" ht="14.25" customHeight="1">
      <c r="A52" s="85" t="s">
        <v>104</v>
      </c>
      <c r="B52" s="87">
        <f>'FY2016 workload support'!D15</f>
        <v>20</v>
      </c>
      <c r="C52" s="89">
        <f t="shared" si="11"/>
        <v>20</v>
      </c>
      <c r="D52" s="89">
        <f t="shared" si="12"/>
        <v>0</v>
      </c>
      <c r="E52" s="91"/>
      <c r="F52" s="91"/>
      <c r="G52" s="91"/>
      <c r="H52" s="91"/>
      <c r="I52" s="91"/>
      <c r="J52" s="91"/>
      <c r="K52" s="91"/>
      <c r="L52" s="91"/>
      <c r="M52" s="91"/>
      <c r="N52" s="106">
        <v>20</v>
      </c>
      <c r="O52" s="91"/>
      <c r="P52" s="91"/>
      <c r="Q52" s="91"/>
      <c r="R52" s="91"/>
      <c r="S52" s="3"/>
    </row>
    <row r="53" spans="1:26" ht="14.25" customHeight="1">
      <c r="A53" s="85" t="s">
        <v>106</v>
      </c>
      <c r="B53" s="87">
        <f>'FY2016 workload support'!D16</f>
        <v>40</v>
      </c>
      <c r="C53" s="89">
        <f t="shared" si="11"/>
        <v>40</v>
      </c>
      <c r="D53" s="89">
        <f t="shared" si="12"/>
        <v>0</v>
      </c>
      <c r="E53" s="91"/>
      <c r="F53" s="91"/>
      <c r="G53" s="91"/>
      <c r="H53" s="91"/>
      <c r="I53" s="91"/>
      <c r="J53" s="91"/>
      <c r="K53" s="91"/>
      <c r="L53" s="91"/>
      <c r="M53" s="91"/>
      <c r="N53" s="104">
        <v>40</v>
      </c>
      <c r="O53" s="91"/>
      <c r="P53" s="91"/>
      <c r="Q53" s="91"/>
      <c r="R53" s="91"/>
      <c r="S53" s="3"/>
    </row>
    <row r="54" spans="1:26" ht="14.25" customHeight="1">
      <c r="A54" s="291" t="s">
        <v>107</v>
      </c>
      <c r="B54" s="87">
        <v>2</v>
      </c>
      <c r="C54" s="89">
        <f t="shared" si="11"/>
        <v>2</v>
      </c>
      <c r="D54" s="89">
        <f t="shared" si="12"/>
        <v>0</v>
      </c>
      <c r="E54" s="91"/>
      <c r="F54" s="91"/>
      <c r="G54" s="91"/>
      <c r="H54" s="91"/>
      <c r="I54" s="91"/>
      <c r="J54" s="91"/>
      <c r="K54" s="91"/>
      <c r="L54" s="91"/>
      <c r="M54" s="91"/>
      <c r="N54" s="91">
        <v>2</v>
      </c>
      <c r="O54" s="91"/>
      <c r="P54" s="91"/>
      <c r="Q54" s="91"/>
      <c r="R54" s="91"/>
      <c r="S54" s="3"/>
      <c r="T54" s="1"/>
      <c r="U54" s="1"/>
      <c r="V54" s="1"/>
      <c r="W54" s="1"/>
      <c r="X54" s="1"/>
      <c r="Y54" s="1"/>
      <c r="Z54" s="1"/>
    </row>
    <row r="55" spans="1:26" ht="14.25" customHeight="1">
      <c r="A55" s="85" t="s">
        <v>109</v>
      </c>
      <c r="B55" s="87">
        <f>'FY2016 workload support'!D18</f>
        <v>12</v>
      </c>
      <c r="C55" s="89">
        <f t="shared" si="11"/>
        <v>12</v>
      </c>
      <c r="D55" s="89">
        <f t="shared" si="12"/>
        <v>0</v>
      </c>
      <c r="E55" s="91"/>
      <c r="F55" s="91"/>
      <c r="G55" s="91"/>
      <c r="H55" s="91"/>
      <c r="I55" s="91"/>
      <c r="J55" s="91"/>
      <c r="K55" s="91"/>
      <c r="L55" s="91"/>
      <c r="M55" s="91"/>
      <c r="N55" s="91">
        <v>12</v>
      </c>
      <c r="O55" s="91"/>
      <c r="P55" s="91"/>
      <c r="Q55" s="91"/>
      <c r="R55" s="91"/>
      <c r="S55" s="3"/>
    </row>
    <row r="56" spans="1:26" ht="14.25" customHeight="1">
      <c r="A56" s="85" t="s">
        <v>110</v>
      </c>
      <c r="B56" s="87">
        <f>'FY2016 workload support'!D19</f>
        <v>20</v>
      </c>
      <c r="C56" s="89">
        <f t="shared" si="11"/>
        <v>20</v>
      </c>
      <c r="D56" s="89">
        <f t="shared" si="12"/>
        <v>0</v>
      </c>
      <c r="E56" s="91">
        <v>20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3"/>
    </row>
    <row r="57" spans="1:26" ht="14.25" customHeight="1">
      <c r="A57" s="85" t="s">
        <v>111</v>
      </c>
      <c r="B57" s="87">
        <f>'FY2016 workload support'!D21</f>
        <v>24</v>
      </c>
      <c r="C57" s="89">
        <f t="shared" si="11"/>
        <v>24</v>
      </c>
      <c r="D57" s="89">
        <f t="shared" si="12"/>
        <v>0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>
        <v>3</v>
      </c>
      <c r="Q57" s="104">
        <v>21</v>
      </c>
      <c r="R57" s="104"/>
      <c r="S57" s="110"/>
    </row>
    <row r="58" spans="1:26" ht="14.25" customHeight="1">
      <c r="A58" s="93" t="s">
        <v>68</v>
      </c>
      <c r="B58" s="87">
        <f>'2016 MARCOM Budget'!K4*20</f>
        <v>60</v>
      </c>
      <c r="C58" s="89">
        <f t="shared" si="11"/>
        <v>60</v>
      </c>
      <c r="D58" s="89">
        <f t="shared" si="12"/>
        <v>0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>
        <v>60</v>
      </c>
      <c r="O58" s="106"/>
      <c r="P58" s="106"/>
      <c r="Q58" s="106"/>
      <c r="R58" s="106"/>
      <c r="S58" s="111"/>
    </row>
    <row r="59" spans="1:26" ht="14.25" customHeight="1">
      <c r="A59" s="93" t="s">
        <v>70</v>
      </c>
      <c r="B59" s="87">
        <f>'2016 MARCOM Budget'!K7*20</f>
        <v>5</v>
      </c>
      <c r="C59" s="89">
        <f t="shared" si="11"/>
        <v>5</v>
      </c>
      <c r="D59" s="89">
        <f t="shared" si="12"/>
        <v>0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>
        <v>5</v>
      </c>
      <c r="O59" s="106"/>
      <c r="P59" s="106"/>
      <c r="Q59" s="106"/>
      <c r="R59" s="106"/>
      <c r="S59" s="111"/>
    </row>
    <row r="60" spans="1:26" ht="14.25" customHeight="1">
      <c r="A60" s="93" t="s">
        <v>73</v>
      </c>
      <c r="B60" s="87">
        <f>'2016 MARCOM Budget'!I9*20</f>
        <v>28</v>
      </c>
      <c r="C60" s="89">
        <f t="shared" si="11"/>
        <v>28</v>
      </c>
      <c r="D60" s="89">
        <f t="shared" si="12"/>
        <v>0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>
        <v>28</v>
      </c>
      <c r="O60" s="106"/>
      <c r="P60" s="106"/>
      <c r="Q60" s="106"/>
      <c r="R60" s="106"/>
      <c r="S60" s="111"/>
    </row>
    <row r="61" spans="1:26" ht="14.25" customHeight="1">
      <c r="A61" s="93" t="s">
        <v>78</v>
      </c>
      <c r="B61" s="87">
        <f>'2016 MARCOM Budget'!K15*20</f>
        <v>0</v>
      </c>
      <c r="C61" s="89">
        <f t="shared" si="11"/>
        <v>0</v>
      </c>
      <c r="D61" s="89">
        <f t="shared" si="12"/>
        <v>0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4"/>
      <c r="S61" s="111"/>
    </row>
    <row r="62" spans="1:26" ht="14.25" customHeight="1">
      <c r="A62" s="93" t="s">
        <v>81</v>
      </c>
      <c r="B62" s="87">
        <f>'2016 MARCOM Budget'!K16*20</f>
        <v>0</v>
      </c>
      <c r="C62" s="89">
        <f t="shared" si="11"/>
        <v>0</v>
      </c>
      <c r="D62" s="89">
        <f t="shared" si="12"/>
        <v>0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12"/>
      <c r="O62" s="106"/>
      <c r="P62" s="106"/>
      <c r="Q62" s="106"/>
      <c r="R62" s="104"/>
      <c r="S62" s="111"/>
    </row>
    <row r="63" spans="1:26" ht="14.25" customHeight="1">
      <c r="A63" s="93" t="s">
        <v>82</v>
      </c>
      <c r="B63" s="87">
        <f>'2016 MARCOM Budget'!K17*20</f>
        <v>2</v>
      </c>
      <c r="C63" s="89">
        <f t="shared" si="11"/>
        <v>0</v>
      </c>
      <c r="D63" s="89">
        <f t="shared" si="12"/>
        <v>-2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11"/>
    </row>
    <row r="64" spans="1:26" ht="14.25" customHeight="1">
      <c r="A64" s="93" t="s">
        <v>77</v>
      </c>
      <c r="B64" s="87">
        <f>'2016 MARCOM Budget'!I19*20</f>
        <v>18.600000000000001</v>
      </c>
      <c r="C64" s="89">
        <f t="shared" si="11"/>
        <v>18.600000000000001</v>
      </c>
      <c r="D64" s="89">
        <f t="shared" si="12"/>
        <v>0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4">
        <v>18.600000000000001</v>
      </c>
      <c r="O64" s="106"/>
      <c r="P64" s="106"/>
      <c r="Q64" s="106"/>
      <c r="R64" s="106"/>
      <c r="S64" s="111"/>
    </row>
    <row r="65" spans="1:19" ht="14.25" customHeight="1">
      <c r="A65" s="93" t="s">
        <v>79</v>
      </c>
      <c r="B65" s="87">
        <f>'2016 MARCOM Budget'!I24*20</f>
        <v>52</v>
      </c>
      <c r="C65" s="89">
        <f t="shared" si="11"/>
        <v>52</v>
      </c>
      <c r="D65" s="89">
        <f t="shared" si="12"/>
        <v>0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>
        <v>52</v>
      </c>
      <c r="O65" s="106"/>
      <c r="P65" s="106"/>
      <c r="Q65" s="106"/>
      <c r="R65" s="106"/>
      <c r="S65" s="111"/>
    </row>
    <row r="66" spans="1:19" ht="14.25" customHeight="1">
      <c r="A66" s="115" t="s">
        <v>66</v>
      </c>
      <c r="B66" s="117">
        <v>0</v>
      </c>
      <c r="C66" s="89">
        <f t="shared" si="11"/>
        <v>0</v>
      </c>
      <c r="D66" s="89">
        <f t="shared" si="12"/>
        <v>0</v>
      </c>
      <c r="E66" s="106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11" t="s">
        <v>113</v>
      </c>
    </row>
    <row r="67" spans="1:19" ht="14.25" customHeight="1">
      <c r="A67" s="113" t="s">
        <v>112</v>
      </c>
      <c r="B67" s="114">
        <f t="shared" ref="B67:D67" si="13">SUM(B40:B66)</f>
        <v>852.6</v>
      </c>
      <c r="C67" s="114">
        <f t="shared" si="13"/>
        <v>850.6</v>
      </c>
      <c r="D67" s="114">
        <f t="shared" si="13"/>
        <v>-2</v>
      </c>
      <c r="E67" s="116">
        <f t="shared" ref="E67:R67" si="14">SUM(E40:E65)</f>
        <v>30</v>
      </c>
      <c r="F67" s="116">
        <f t="shared" si="14"/>
        <v>67.25</v>
      </c>
      <c r="G67" s="116">
        <f t="shared" si="14"/>
        <v>0</v>
      </c>
      <c r="H67" s="116">
        <f t="shared" si="14"/>
        <v>0</v>
      </c>
      <c r="I67" s="116">
        <f t="shared" si="14"/>
        <v>0</v>
      </c>
      <c r="J67" s="116">
        <f t="shared" si="14"/>
        <v>0</v>
      </c>
      <c r="K67" s="116">
        <f t="shared" si="14"/>
        <v>0</v>
      </c>
      <c r="L67" s="116">
        <f t="shared" si="14"/>
        <v>0</v>
      </c>
      <c r="M67" s="116">
        <f t="shared" si="14"/>
        <v>0</v>
      </c>
      <c r="N67" s="116">
        <f t="shared" si="14"/>
        <v>483.6</v>
      </c>
      <c r="O67" s="116">
        <f t="shared" si="14"/>
        <v>91.25</v>
      </c>
      <c r="P67" s="116">
        <f t="shared" si="14"/>
        <v>34</v>
      </c>
      <c r="Q67" s="116">
        <f t="shared" si="14"/>
        <v>42</v>
      </c>
      <c r="R67" s="116">
        <f t="shared" si="14"/>
        <v>102.5</v>
      </c>
      <c r="S67" s="110"/>
    </row>
    <row r="68" spans="1:19" ht="14.25" customHeight="1">
      <c r="A68" s="113" t="s">
        <v>114</v>
      </c>
      <c r="B68" s="118">
        <f t="shared" ref="B68:R68" si="15">B67*625</f>
        <v>532875</v>
      </c>
      <c r="C68" s="118">
        <f t="shared" si="15"/>
        <v>531625</v>
      </c>
      <c r="D68" s="118">
        <f t="shared" si="15"/>
        <v>-1250</v>
      </c>
      <c r="E68" s="119">
        <f t="shared" si="15"/>
        <v>18750</v>
      </c>
      <c r="F68" s="119">
        <f t="shared" si="15"/>
        <v>42031.25</v>
      </c>
      <c r="G68" s="119">
        <f t="shared" si="15"/>
        <v>0</v>
      </c>
      <c r="H68" s="119">
        <f t="shared" si="15"/>
        <v>0</v>
      </c>
      <c r="I68" s="119">
        <f t="shared" si="15"/>
        <v>0</v>
      </c>
      <c r="J68" s="119">
        <f t="shared" si="15"/>
        <v>0</v>
      </c>
      <c r="K68" s="119">
        <f t="shared" si="15"/>
        <v>0</v>
      </c>
      <c r="L68" s="119">
        <f t="shared" si="15"/>
        <v>0</v>
      </c>
      <c r="M68" s="119">
        <f t="shared" si="15"/>
        <v>0</v>
      </c>
      <c r="N68" s="119">
        <f t="shared" si="15"/>
        <v>302250</v>
      </c>
      <c r="O68" s="119">
        <f t="shared" si="15"/>
        <v>57031.25</v>
      </c>
      <c r="P68" s="119">
        <f t="shared" si="15"/>
        <v>21250</v>
      </c>
      <c r="Q68" s="119">
        <f t="shared" si="15"/>
        <v>26250</v>
      </c>
      <c r="R68" s="119">
        <f t="shared" si="15"/>
        <v>64062.5</v>
      </c>
      <c r="S68" s="3"/>
    </row>
    <row r="69" spans="1:19" ht="14.25" customHeight="1">
      <c r="A69" s="3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3"/>
    </row>
    <row r="70" spans="1:19" ht="14.25" customHeight="1">
      <c r="A70" s="3"/>
      <c r="B70" s="120">
        <f>+B68+B37+B25+B17+B12</f>
        <v>697175</v>
      </c>
      <c r="C70" s="120"/>
      <c r="D70" s="120"/>
      <c r="E70" s="1"/>
      <c r="F70" s="1"/>
      <c r="G70" s="1"/>
      <c r="H70" s="1"/>
      <c r="I70" s="1"/>
      <c r="J70" s="120"/>
      <c r="K70" s="120"/>
      <c r="L70" s="120"/>
      <c r="M70" s="120"/>
      <c r="N70" s="120"/>
      <c r="O70" s="120"/>
      <c r="P70" s="120"/>
      <c r="Q70" s="120"/>
      <c r="R70" s="120"/>
      <c r="S70" s="3"/>
    </row>
    <row r="71" spans="1:19" ht="14.25" customHeight="1">
      <c r="A71" s="3"/>
      <c r="B71" s="120"/>
      <c r="C71" s="120"/>
      <c r="D71" s="120"/>
      <c r="E71" s="29" t="s">
        <v>115</v>
      </c>
      <c r="F71" s="121"/>
      <c r="G71" s="1"/>
      <c r="H71" s="1"/>
      <c r="I71" s="1"/>
      <c r="J71" s="120"/>
      <c r="K71" s="120"/>
      <c r="L71" s="120"/>
      <c r="M71" s="120"/>
      <c r="N71" s="120"/>
      <c r="O71" s="120"/>
      <c r="P71" s="120"/>
      <c r="Q71" s="120"/>
      <c r="R71" s="120"/>
      <c r="S71" s="3"/>
    </row>
    <row r="72" spans="1:19" ht="34.5" customHeight="1">
      <c r="A72" s="3"/>
      <c r="B72" s="120"/>
      <c r="C72" s="120"/>
      <c r="D72" s="120"/>
      <c r="E72" s="250" t="s">
        <v>116</v>
      </c>
      <c r="F72" s="244"/>
      <c r="G72" s="244"/>
      <c r="H72" s="244"/>
      <c r="I72" s="122">
        <f>+B37+B17-B34-B29</f>
        <v>56800</v>
      </c>
      <c r="J72" s="120"/>
      <c r="K72" s="120"/>
      <c r="L72" s="120"/>
      <c r="M72" s="120"/>
      <c r="N72" s="120"/>
      <c r="O72" s="120"/>
      <c r="P72" s="120"/>
      <c r="Q72" s="120"/>
      <c r="R72" s="120"/>
      <c r="S72" s="3"/>
    </row>
    <row r="73" spans="1:19" ht="14.25" customHeight="1">
      <c r="A73" s="3"/>
      <c r="B73" s="120"/>
      <c r="C73" s="120"/>
      <c r="D73" s="120"/>
      <c r="E73" s="123" t="s">
        <v>117</v>
      </c>
      <c r="F73" s="123"/>
      <c r="G73" s="123"/>
      <c r="H73" s="124"/>
      <c r="I73" s="123">
        <v>28500</v>
      </c>
      <c r="J73" s="120" t="s">
        <v>118</v>
      </c>
      <c r="K73" s="120"/>
      <c r="L73" s="120"/>
      <c r="M73" s="120"/>
      <c r="N73" s="120"/>
      <c r="O73" s="120"/>
      <c r="P73" s="120"/>
      <c r="Q73" s="120"/>
      <c r="R73" s="120"/>
      <c r="S73" s="3"/>
    </row>
    <row r="74" spans="1:19" ht="14.25" customHeight="1">
      <c r="A74" s="3"/>
      <c r="B74" s="120"/>
      <c r="C74" s="120"/>
      <c r="D74" s="120"/>
      <c r="E74" s="120"/>
      <c r="F74" s="120"/>
      <c r="G74" s="120"/>
      <c r="H74" s="1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3"/>
    </row>
    <row r="75" spans="1:19" ht="14.25" customHeight="1">
      <c r="A75" s="3"/>
      <c r="B75" s="120"/>
      <c r="C75" s="120"/>
      <c r="D75" s="120"/>
      <c r="E75" s="29" t="s">
        <v>119</v>
      </c>
      <c r="F75" s="121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3"/>
    </row>
    <row r="76" spans="1:19" ht="14.25" customHeight="1">
      <c r="A76" s="3"/>
      <c r="B76" s="120"/>
      <c r="C76" s="120"/>
      <c r="D76" s="120"/>
      <c r="E76" s="120" t="s">
        <v>120</v>
      </c>
      <c r="F76" s="120"/>
      <c r="G76" s="120"/>
      <c r="H76" s="1"/>
      <c r="I76" s="120">
        <f>+'Formula and Summary'!K21</f>
        <v>27500</v>
      </c>
      <c r="J76" s="120"/>
      <c r="K76" s="120"/>
      <c r="L76" s="120"/>
      <c r="M76" s="120"/>
      <c r="N76" s="120"/>
      <c r="O76" s="120"/>
      <c r="P76" s="120"/>
      <c r="Q76" s="120"/>
      <c r="R76" s="120"/>
      <c r="S76" s="3"/>
    </row>
    <row r="77" spans="1:19" ht="14.25" customHeight="1">
      <c r="A77" s="3"/>
      <c r="B77" s="120"/>
      <c r="C77" s="120"/>
      <c r="D77" s="120"/>
      <c r="E77" s="120" t="s">
        <v>121</v>
      </c>
      <c r="F77" s="120"/>
      <c r="G77" s="120"/>
      <c r="H77" s="1"/>
      <c r="I77" s="125">
        <v>35375</v>
      </c>
      <c r="J77" s="126"/>
      <c r="K77" s="120"/>
      <c r="L77" s="120"/>
      <c r="M77" s="120"/>
      <c r="N77" s="120"/>
      <c r="O77" s="120"/>
      <c r="P77" s="120"/>
      <c r="Q77" s="120"/>
      <c r="R77" s="120"/>
      <c r="S77" s="3"/>
    </row>
    <row r="78" spans="1:19" ht="14.25" customHeight="1">
      <c r="A78" s="3"/>
      <c r="B78" s="120"/>
      <c r="C78" s="120"/>
      <c r="D78" s="120"/>
      <c r="E78" s="120" t="s">
        <v>122</v>
      </c>
      <c r="F78" s="120"/>
      <c r="G78" s="120"/>
      <c r="H78" s="1"/>
      <c r="I78" s="126">
        <v>25111</v>
      </c>
      <c r="J78" s="120"/>
      <c r="K78" s="120"/>
      <c r="L78" s="120"/>
      <c r="M78" s="120"/>
      <c r="N78" s="120"/>
      <c r="O78" s="120"/>
      <c r="P78" s="120"/>
      <c r="Q78" s="120"/>
      <c r="R78" s="120"/>
      <c r="S78" s="3"/>
    </row>
    <row r="79" spans="1:19" ht="14.25" customHeight="1">
      <c r="A79" s="3"/>
      <c r="B79" s="120"/>
      <c r="C79" s="120"/>
      <c r="D79" s="120"/>
      <c r="E79" s="120"/>
      <c r="F79" s="120"/>
      <c r="G79" s="120"/>
      <c r="H79" s="120" t="s">
        <v>24</v>
      </c>
      <c r="I79" s="122">
        <f>SUM(I76:I78)</f>
        <v>87986</v>
      </c>
      <c r="J79" s="120"/>
      <c r="K79" s="120"/>
      <c r="L79" s="120"/>
      <c r="M79" s="120"/>
      <c r="N79" s="120"/>
      <c r="O79" s="120"/>
      <c r="P79" s="120"/>
      <c r="Q79" s="120"/>
      <c r="R79" s="120"/>
      <c r="S79" s="3"/>
    </row>
    <row r="80" spans="1:19" ht="14.25" customHeight="1">
      <c r="A80" s="3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3"/>
    </row>
    <row r="81" spans="1:19" ht="14.25" customHeight="1">
      <c r="A81" s="3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3"/>
    </row>
    <row r="82" spans="1:19" ht="14.25" customHeight="1">
      <c r="A82" s="3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3"/>
    </row>
    <row r="83" spans="1:19" ht="14.25" customHeight="1">
      <c r="A83" s="3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3"/>
    </row>
    <row r="84" spans="1:19" ht="14.25" customHeight="1">
      <c r="A84" s="3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3"/>
    </row>
    <row r="85" spans="1:19" ht="14.25" customHeight="1">
      <c r="A85" s="3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3"/>
    </row>
    <row r="86" spans="1:19" ht="14.25" customHeight="1">
      <c r="A86" s="3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3"/>
    </row>
    <row r="87" spans="1:19" ht="14.25" customHeight="1">
      <c r="A87" s="3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3"/>
    </row>
    <row r="88" spans="1:19" ht="14.25" customHeight="1">
      <c r="A88" s="3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3"/>
    </row>
    <row r="89" spans="1:1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"/>
      <c r="M89" s="3"/>
      <c r="N89" s="3"/>
      <c r="O89" s="3"/>
      <c r="P89" s="3"/>
      <c r="Q89" s="3"/>
      <c r="R89" s="3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3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3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3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3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3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3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3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3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3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3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3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3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3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3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3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3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3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3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3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3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3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3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3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3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3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3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3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3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3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3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3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3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3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3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3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3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3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3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3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3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3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3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3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3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3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3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3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3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3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3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3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3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3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3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3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3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3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3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3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3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3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3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3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3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3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3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3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3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3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3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3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3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3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3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3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3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3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3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3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3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3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3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3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3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3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3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3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3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3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3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3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3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3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3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3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3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3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3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3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3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3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3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3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3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3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3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3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3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3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3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3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3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3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3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3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3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3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3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3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3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3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3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3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3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3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3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3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3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3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3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3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3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3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3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3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3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3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3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3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3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3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3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3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3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3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3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3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3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3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3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3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3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3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3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3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3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3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3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3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3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3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3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3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3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3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3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3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3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3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3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3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3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3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3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3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3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3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3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3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3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3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3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3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3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3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3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3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3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3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3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3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3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3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3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3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3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3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3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3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3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3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3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3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3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3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3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3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3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3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3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3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3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3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3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3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3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3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3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3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3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3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3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3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3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3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3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3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3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3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3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3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3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3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3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3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3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3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3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3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3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3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3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3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3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3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3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3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3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3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3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3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3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3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3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3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3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3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3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3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3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3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3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3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3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3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3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3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3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3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3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3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3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3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3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3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3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3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3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3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3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3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3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3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3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3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3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3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3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3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3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3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3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3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3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3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3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3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3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3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3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3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3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3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3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3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3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3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3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3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3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3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3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3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3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3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3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3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3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3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3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3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3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3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3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3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3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3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3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3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3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3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3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3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3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3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3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3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3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3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3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3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3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3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3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3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3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3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3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3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3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3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3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3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3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3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3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3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3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3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3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3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3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3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3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3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3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3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3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3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3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3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3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3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3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3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3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3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3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3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3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3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3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3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3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3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3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3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3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3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3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3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3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3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3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3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3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3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3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3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3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3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3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3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3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3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3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3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3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3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3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3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3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3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3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3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3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3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3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3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3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3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3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3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3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3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3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3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3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3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3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3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3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3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3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3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3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3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3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3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3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3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3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3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3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3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3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3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3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3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3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3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3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3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3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3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3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3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3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3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3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3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3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3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3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3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3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3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3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3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3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3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3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3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3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3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3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3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3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3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3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3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3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3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3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3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3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3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3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3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3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3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3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3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3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3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3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3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3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3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3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3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3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3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3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3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3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3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3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3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3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3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3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3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3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3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3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3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3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3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3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3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3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3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3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3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3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3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3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3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3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3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3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3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3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3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3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3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3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3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3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3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3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3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3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3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3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3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3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3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3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3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3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3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3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3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3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3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3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3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3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3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3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3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3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3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3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3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3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3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3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3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3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3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3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3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3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3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3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3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3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3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3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3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3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3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3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3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3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3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3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3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3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3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3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3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3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3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3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3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3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3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3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3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3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3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3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3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3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3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3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3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3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3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3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3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3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3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3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3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3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3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3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3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3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3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3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3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3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3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3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3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3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3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3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3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3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3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3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3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3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3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3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3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3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3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3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3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3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3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3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3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3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3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3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3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3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3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3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3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3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3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3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3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3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3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3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3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3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3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3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3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3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3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3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3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3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3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3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3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3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3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3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3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3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3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3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3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3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3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3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3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3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3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3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3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3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3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3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3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3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3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3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3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3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3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3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3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3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3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3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3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3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3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3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3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3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3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3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3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3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3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3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3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3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3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3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3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3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3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3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3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3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3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3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3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3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3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3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3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3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3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3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3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3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3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3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3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3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3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3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3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3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3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3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3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3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3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3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3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3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3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3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3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3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3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3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3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3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3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3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3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3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3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3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3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3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3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3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3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3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3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3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3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3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3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3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3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3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3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3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3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3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3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3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3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3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3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3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3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3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3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3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3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3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3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3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3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3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3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3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3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3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3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3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3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3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3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3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3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3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3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3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3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3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3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3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3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3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3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3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3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3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3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3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3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3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3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3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3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3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3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3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3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3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3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3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3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3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3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3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3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3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3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3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3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3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3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3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3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3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3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3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3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3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3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3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3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3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3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3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3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3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3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3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3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3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3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3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3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3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3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3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3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3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3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3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3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3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3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3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</sheetData>
  <mergeCells count="10">
    <mergeCell ref="E72:H72"/>
    <mergeCell ref="E39:R39"/>
    <mergeCell ref="E27:R27"/>
    <mergeCell ref="A1:D1"/>
    <mergeCell ref="E19:R19"/>
    <mergeCell ref="A2:D2"/>
    <mergeCell ref="A3:D3"/>
    <mergeCell ref="A4:D4"/>
    <mergeCell ref="E5:R5"/>
    <mergeCell ref="B39:D39"/>
  </mergeCells>
  <phoneticPr fontId="42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A10" workbookViewId="0">
      <selection activeCell="B18" sqref="B18"/>
    </sheetView>
  </sheetViews>
  <sheetFormatPr defaultColWidth="17.33203125" defaultRowHeight="15" customHeight="1"/>
  <cols>
    <col min="1" max="1" width="7" customWidth="1"/>
    <col min="2" max="2" width="42.6640625" customWidth="1"/>
    <col min="3" max="3" width="14.6640625" customWidth="1"/>
    <col min="4" max="4" width="11.109375" customWidth="1"/>
    <col min="5" max="6" width="12.6640625" customWidth="1"/>
    <col min="7" max="7" width="12.33203125" customWidth="1"/>
    <col min="8" max="8" width="13.5546875" customWidth="1"/>
    <col min="9" max="9" width="14" customWidth="1"/>
    <col min="10" max="10" width="15.6640625" customWidth="1"/>
    <col min="11" max="11" width="16.88671875" customWidth="1"/>
    <col min="12" max="12" width="15.109375" customWidth="1"/>
    <col min="13" max="13" width="29.88671875" customWidth="1"/>
    <col min="14" max="14" width="14.6640625" customWidth="1"/>
    <col min="15" max="21" width="17.33203125" customWidth="1"/>
  </cols>
  <sheetData>
    <row r="1" spans="1:21" ht="17.25" customHeight="1">
      <c r="A1" s="259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"/>
      <c r="M1" s="1"/>
      <c r="N1" s="1"/>
      <c r="O1" s="2"/>
      <c r="P1" s="2"/>
      <c r="Q1" s="2"/>
      <c r="R1" s="2"/>
      <c r="S1" s="2"/>
      <c r="T1" s="2"/>
      <c r="U1" s="2"/>
    </row>
    <row r="2" spans="1:21" ht="14.25" customHeight="1">
      <c r="A2" s="1"/>
      <c r="B2" s="3" t="s">
        <v>1</v>
      </c>
      <c r="C2" s="5">
        <f>'FY2016 workload support'!F30+'FY2016 monetary budget'!F32</f>
        <v>697175.00000000012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4.25" customHeight="1">
      <c r="A3" s="3"/>
      <c r="B3" s="1"/>
      <c r="C3" s="1"/>
      <c r="D3" s="258" t="s">
        <v>17</v>
      </c>
      <c r="E3" s="244"/>
      <c r="F3" s="258" t="s">
        <v>18</v>
      </c>
      <c r="G3" s="244"/>
      <c r="H3" s="1"/>
      <c r="I3" s="1"/>
      <c r="J3" s="1"/>
      <c r="K3" s="1"/>
      <c r="L3" s="3"/>
      <c r="M3" s="9" t="s">
        <v>19</v>
      </c>
      <c r="N3" s="10"/>
      <c r="O3" s="11">
        <v>25111</v>
      </c>
      <c r="P3" s="12" t="s">
        <v>20</v>
      </c>
      <c r="Q3" s="2"/>
      <c r="R3" s="2"/>
      <c r="S3" s="2"/>
      <c r="T3" s="2"/>
      <c r="U3" s="2"/>
    </row>
    <row r="4" spans="1:21" ht="14.25" customHeight="1">
      <c r="A4" s="3"/>
      <c r="B4" s="248" t="s">
        <v>21</v>
      </c>
      <c r="C4" s="244"/>
      <c r="D4" s="253">
        <v>5000</v>
      </c>
      <c r="E4" s="244"/>
      <c r="F4" s="254">
        <f>C2-(D4*H22)</f>
        <v>629675.00000000012</v>
      </c>
      <c r="G4" s="244"/>
      <c r="H4" s="1"/>
      <c r="I4" s="1"/>
      <c r="J4" s="1"/>
      <c r="K4" s="1"/>
      <c r="L4" s="3"/>
      <c r="M4" s="15" t="s">
        <v>22</v>
      </c>
      <c r="N4" s="16"/>
      <c r="O4" s="18"/>
      <c r="P4" s="2"/>
      <c r="Q4" s="2"/>
      <c r="R4" s="2"/>
      <c r="S4" s="2"/>
      <c r="T4" s="2"/>
      <c r="U4" s="2"/>
    </row>
    <row r="5" spans="1:21" ht="14.25" customHeight="1">
      <c r="A5" s="3"/>
      <c r="B5" s="248" t="s">
        <v>24</v>
      </c>
      <c r="C5" s="244"/>
      <c r="D5" s="253">
        <f>D4*H22</f>
        <v>67500</v>
      </c>
      <c r="E5" s="244"/>
      <c r="F5" s="254">
        <f>F4</f>
        <v>629675.00000000012</v>
      </c>
      <c r="G5" s="244"/>
      <c r="H5" s="1"/>
      <c r="I5" s="1"/>
      <c r="J5" s="3"/>
      <c r="K5" s="3"/>
      <c r="L5" s="3"/>
      <c r="M5" s="2"/>
      <c r="N5" s="19"/>
      <c r="O5" s="19"/>
      <c r="P5" s="2"/>
      <c r="Q5" s="2"/>
      <c r="R5" s="2"/>
      <c r="S5" s="2"/>
      <c r="T5" s="2"/>
      <c r="U5" s="2"/>
    </row>
    <row r="6" spans="1:21" ht="14.25" customHeight="1">
      <c r="A6" s="3"/>
      <c r="B6" s="3"/>
      <c r="C6" s="3"/>
      <c r="D6" s="3"/>
      <c r="E6" s="3"/>
      <c r="F6" s="3"/>
      <c r="G6" s="1"/>
      <c r="H6" s="1"/>
      <c r="I6" s="20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18" customHeight="1">
      <c r="A7" s="257" t="s">
        <v>26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3"/>
      <c r="M7" s="22" t="s">
        <v>27</v>
      </c>
      <c r="N7" s="19"/>
      <c r="O7" s="23"/>
      <c r="P7" s="19"/>
      <c r="Q7" s="2"/>
      <c r="R7" s="2"/>
      <c r="S7" s="2"/>
      <c r="T7" s="2"/>
      <c r="U7" s="2"/>
    </row>
    <row r="8" spans="1:21" ht="14.25" customHeight="1">
      <c r="A8" s="255" t="s">
        <v>29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3"/>
      <c r="M8" s="27" t="s">
        <v>31</v>
      </c>
      <c r="N8" s="19"/>
      <c r="O8" s="19"/>
      <c r="P8" s="29" t="s">
        <v>35</v>
      </c>
      <c r="Q8" s="2"/>
      <c r="R8" s="2"/>
      <c r="S8" s="2"/>
      <c r="T8" s="2"/>
      <c r="U8" s="2"/>
    </row>
    <row r="9" spans="1:21" ht="14.25" customHeight="1">
      <c r="A9" s="255" t="s">
        <v>36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3"/>
      <c r="M9" s="27" t="s">
        <v>37</v>
      </c>
      <c r="N9" s="19"/>
      <c r="O9" s="19"/>
      <c r="P9" s="29"/>
      <c r="Q9" s="2"/>
      <c r="R9" s="2"/>
      <c r="S9" s="2"/>
      <c r="T9" s="2"/>
      <c r="U9" s="2"/>
    </row>
    <row r="10" spans="1:21" ht="14.25" customHeight="1">
      <c r="A10" s="256" t="s">
        <v>38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3"/>
      <c r="M10" s="32" t="s">
        <v>2</v>
      </c>
      <c r="N10" s="34">
        <f>-5000+42243</f>
        <v>37243</v>
      </c>
      <c r="O10" s="35">
        <f t="shared" ref="O10:O17" si="0">N10/$N$22</f>
        <v>5.8708084795137269E-2</v>
      </c>
      <c r="P10" s="37">
        <f t="shared" ref="P10:P17" si="1">$O$3*O10</f>
        <v>1474.218717290692</v>
      </c>
      <c r="Q10" s="2"/>
      <c r="R10" s="2"/>
      <c r="S10" s="2"/>
      <c r="T10" s="2"/>
      <c r="U10" s="2"/>
    </row>
    <row r="11" spans="1:21" ht="14.25" customHeight="1">
      <c r="A11" s="3"/>
      <c r="B11" s="1" t="s">
        <v>42</v>
      </c>
      <c r="C11" s="38" t="s">
        <v>11</v>
      </c>
      <c r="D11" s="38" t="s">
        <v>12</v>
      </c>
      <c r="E11" s="38" t="s">
        <v>3</v>
      </c>
      <c r="F11" s="38" t="s">
        <v>14</v>
      </c>
      <c r="G11" s="38" t="s">
        <v>2</v>
      </c>
      <c r="H11" s="38" t="s">
        <v>15</v>
      </c>
      <c r="I11" s="38" t="s">
        <v>13</v>
      </c>
      <c r="J11" s="38" t="s">
        <v>5</v>
      </c>
      <c r="K11" s="25" t="s">
        <v>46</v>
      </c>
      <c r="L11" s="1"/>
      <c r="M11" s="32" t="s">
        <v>3</v>
      </c>
      <c r="N11" s="34">
        <f>49691-5000</f>
        <v>44691</v>
      </c>
      <c r="O11" s="35">
        <f t="shared" si="0"/>
        <v>7.0448755942847774E-2</v>
      </c>
      <c r="P11" s="37">
        <f t="shared" si="1"/>
        <v>1769.0387104808503</v>
      </c>
      <c r="Q11" s="2"/>
      <c r="R11" s="2"/>
      <c r="S11" s="2"/>
      <c r="T11" s="2"/>
      <c r="U11" s="2"/>
    </row>
    <row r="12" spans="1:21" ht="14.25" customHeight="1">
      <c r="A12" s="3"/>
      <c r="B12" s="3" t="s">
        <v>47</v>
      </c>
      <c r="C12" s="42">
        <v>116</v>
      </c>
      <c r="D12" s="42">
        <v>19</v>
      </c>
      <c r="E12" s="42">
        <v>14</v>
      </c>
      <c r="F12" s="42">
        <v>6</v>
      </c>
      <c r="G12" s="42">
        <v>10</v>
      </c>
      <c r="H12" s="42">
        <v>14</v>
      </c>
      <c r="I12" s="42">
        <v>6</v>
      </c>
      <c r="J12" s="42">
        <v>10</v>
      </c>
      <c r="K12" s="45">
        <f>SUM(C12:J12)</f>
        <v>195</v>
      </c>
      <c r="L12" s="1"/>
      <c r="M12" s="32" t="s">
        <v>5</v>
      </c>
      <c r="N12" s="34">
        <f>53415-5000</f>
        <v>48415</v>
      </c>
      <c r="O12" s="35">
        <f t="shared" si="0"/>
        <v>7.6319091516703033E-2</v>
      </c>
      <c r="P12" s="37">
        <f t="shared" si="1"/>
        <v>1916.4487070759299</v>
      </c>
      <c r="Q12" s="2"/>
      <c r="R12" s="2"/>
      <c r="S12" s="2"/>
      <c r="T12" s="2"/>
      <c r="U12" s="2"/>
    </row>
    <row r="13" spans="1:21" ht="14.25" customHeight="1">
      <c r="A13" s="3"/>
      <c r="B13" s="3" t="s">
        <v>51</v>
      </c>
      <c r="C13" s="38">
        <f>C12/K12</f>
        <v>0.59487179487179487</v>
      </c>
      <c r="D13" s="38">
        <f>D12/K12</f>
        <v>9.7435897435897437E-2</v>
      </c>
      <c r="E13" s="38">
        <f>E12/K12</f>
        <v>7.179487179487179E-2</v>
      </c>
      <c r="F13" s="38">
        <f>F12/K12</f>
        <v>3.0769230769230771E-2</v>
      </c>
      <c r="G13" s="38">
        <f>G12/K12</f>
        <v>5.128205128205128E-2</v>
      </c>
      <c r="H13" s="38">
        <f>H12/K12</f>
        <v>7.179487179487179E-2</v>
      </c>
      <c r="I13" s="38">
        <f>I12/K12</f>
        <v>3.0769230769230771E-2</v>
      </c>
      <c r="J13" s="38">
        <f>J12/K12</f>
        <v>5.128205128205128E-2</v>
      </c>
      <c r="K13" s="3"/>
      <c r="L13" s="3"/>
      <c r="M13" s="32" t="s">
        <v>11</v>
      </c>
      <c r="N13" s="34">
        <f>366254-5000</f>
        <v>361254</v>
      </c>
      <c r="O13" s="35">
        <f t="shared" si="0"/>
        <v>0.56946353582102727</v>
      </c>
      <c r="P13" s="37">
        <f t="shared" si="1"/>
        <v>14299.798848001816</v>
      </c>
      <c r="Q13" s="2"/>
      <c r="R13" s="2"/>
      <c r="S13" s="2"/>
      <c r="T13" s="2"/>
      <c r="U13" s="2"/>
    </row>
    <row r="14" spans="1:21" ht="28.5" customHeight="1">
      <c r="A14" s="3"/>
      <c r="B14" s="54" t="s">
        <v>55</v>
      </c>
      <c r="C14" s="56">
        <f>-P13</f>
        <v>-14299.798848001816</v>
      </c>
      <c r="D14" s="56">
        <f>-P14</f>
        <v>-2506.1678610161794</v>
      </c>
      <c r="E14" s="56">
        <f>-P11</f>
        <v>-1769.0387104808503</v>
      </c>
      <c r="F14" s="58">
        <f>-P16</f>
        <v>-884.53914713040854</v>
      </c>
      <c r="G14" s="58">
        <f>-P10</f>
        <v>-1474.218717290692</v>
      </c>
      <c r="H14" s="58">
        <f>-P15</f>
        <v>-2063.8982874509757</v>
      </c>
      <c r="I14" s="58">
        <f>-P17</f>
        <v>-196.88972155314832</v>
      </c>
      <c r="J14" s="58">
        <f>-P12</f>
        <v>-1916.4487070759299</v>
      </c>
      <c r="K14" s="58">
        <f t="shared" ref="K14:K17" si="2">SUM(C14:J14)</f>
        <v>-25111</v>
      </c>
      <c r="L14" s="3"/>
      <c r="M14" s="32" t="s">
        <v>12</v>
      </c>
      <c r="N14" s="34">
        <f>68313-5000</f>
        <v>63313</v>
      </c>
      <c r="O14" s="35">
        <f t="shared" si="0"/>
        <v>9.9803586516513859E-2</v>
      </c>
      <c r="P14" s="37">
        <f t="shared" si="1"/>
        <v>2506.1678610161794</v>
      </c>
      <c r="Q14" s="2"/>
      <c r="R14" s="2"/>
      <c r="S14" s="2"/>
      <c r="T14" s="2"/>
      <c r="U14" s="2"/>
    </row>
    <row r="15" spans="1:21" ht="14.25" customHeight="1">
      <c r="A15" s="3"/>
      <c r="B15" s="3" t="s">
        <v>60</v>
      </c>
      <c r="C15" s="59">
        <f>D4</f>
        <v>5000</v>
      </c>
      <c r="D15" s="59">
        <f>D4</f>
        <v>5000</v>
      </c>
      <c r="E15" s="59">
        <f>D4</f>
        <v>5000</v>
      </c>
      <c r="F15" s="59">
        <f>D4</f>
        <v>5000</v>
      </c>
      <c r="G15" s="59">
        <f>D4</f>
        <v>5000</v>
      </c>
      <c r="H15" s="59">
        <f>D4</f>
        <v>5000</v>
      </c>
      <c r="I15" s="59">
        <f>D4</f>
        <v>5000</v>
      </c>
      <c r="J15" s="59">
        <f>D4</f>
        <v>5000</v>
      </c>
      <c r="K15" s="65">
        <f t="shared" si="2"/>
        <v>40000</v>
      </c>
      <c r="L15" s="3"/>
      <c r="M15" s="32" t="s">
        <v>63</v>
      </c>
      <c r="N15" s="34">
        <f>57140-5000</f>
        <v>52140</v>
      </c>
      <c r="O15" s="35">
        <f t="shared" si="0"/>
        <v>8.2191003442753194E-2</v>
      </c>
      <c r="P15" s="37">
        <f t="shared" si="1"/>
        <v>2063.8982874509757</v>
      </c>
      <c r="Q15" s="2"/>
      <c r="R15" s="2"/>
      <c r="S15" s="2"/>
      <c r="T15" s="2"/>
      <c r="U15" s="2"/>
    </row>
    <row r="16" spans="1:21" ht="15.75" customHeight="1">
      <c r="A16" s="3"/>
      <c r="B16" s="3" t="s">
        <v>64</v>
      </c>
      <c r="C16" s="68">
        <f>F4*C13</f>
        <v>374575.8974358975</v>
      </c>
      <c r="D16" s="68">
        <f>F4*D13</f>
        <v>61352.948717948733</v>
      </c>
      <c r="E16" s="68">
        <f>F4*E13</f>
        <v>45207.435897435906</v>
      </c>
      <c r="F16" s="68">
        <f>F4*F13</f>
        <v>19374.61538461539</v>
      </c>
      <c r="G16" s="68">
        <f>F4*G13</f>
        <v>32291.025641025644</v>
      </c>
      <c r="H16" s="68">
        <f>F4*H13</f>
        <v>45207.435897435906</v>
      </c>
      <c r="I16" s="68">
        <f>F4*I13</f>
        <v>19374.61538461539</v>
      </c>
      <c r="J16" s="68">
        <f>F4*J13</f>
        <v>32291.025641025644</v>
      </c>
      <c r="K16" s="59">
        <f t="shared" si="2"/>
        <v>629675</v>
      </c>
      <c r="L16" s="71"/>
      <c r="M16" s="32" t="s">
        <v>67</v>
      </c>
      <c r="N16" s="34">
        <f>27346-5000</f>
        <v>22346</v>
      </c>
      <c r="O16" s="35">
        <f t="shared" si="0"/>
        <v>3.5225166147521345E-2</v>
      </c>
      <c r="P16" s="37">
        <f t="shared" si="1"/>
        <v>884.53914713040854</v>
      </c>
      <c r="Q16" s="2"/>
      <c r="R16" s="2"/>
      <c r="S16" s="2"/>
      <c r="T16" s="2"/>
      <c r="U16" s="2"/>
    </row>
    <row r="17" spans="1:21" ht="15.75" customHeight="1">
      <c r="A17" s="3"/>
      <c r="B17" s="6" t="s">
        <v>24</v>
      </c>
      <c r="C17" s="73">
        <f t="shared" ref="C17:J17" si="3">SUM(C14:C16)</f>
        <v>365276.09858789569</v>
      </c>
      <c r="D17" s="73">
        <f t="shared" si="3"/>
        <v>63846.780856932557</v>
      </c>
      <c r="E17" s="73">
        <f t="shared" si="3"/>
        <v>48438.397186955059</v>
      </c>
      <c r="F17" s="73">
        <f t="shared" si="3"/>
        <v>23490.07623748498</v>
      </c>
      <c r="G17" s="73">
        <f t="shared" si="3"/>
        <v>35816.806923734955</v>
      </c>
      <c r="H17" s="73">
        <f t="shared" si="3"/>
        <v>48143.537609984931</v>
      </c>
      <c r="I17" s="73">
        <f t="shared" si="3"/>
        <v>24177.725663062243</v>
      </c>
      <c r="J17" s="73">
        <f t="shared" si="3"/>
        <v>35374.576933949713</v>
      </c>
      <c r="K17" s="59">
        <f t="shared" si="2"/>
        <v>644564.00000000023</v>
      </c>
      <c r="L17" s="1"/>
      <c r="M17" s="32" t="s">
        <v>13</v>
      </c>
      <c r="N17" s="34">
        <f>8724-(5000*0.75)</f>
        <v>4974</v>
      </c>
      <c r="O17" s="35">
        <f t="shared" si="0"/>
        <v>7.840775817496249E-3</v>
      </c>
      <c r="P17" s="37">
        <f t="shared" si="1"/>
        <v>196.88972155314832</v>
      </c>
      <c r="Q17" s="2"/>
      <c r="R17" s="2"/>
      <c r="S17" s="2"/>
      <c r="T17" s="2"/>
      <c r="U17" s="2"/>
    </row>
    <row r="18" spans="1:21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59"/>
      <c r="L18" s="3"/>
      <c r="M18" s="27" t="s">
        <v>76</v>
      </c>
      <c r="N18" s="34"/>
      <c r="O18" s="35"/>
      <c r="P18" s="37"/>
      <c r="Q18" s="2"/>
      <c r="R18" s="2"/>
      <c r="S18" s="2"/>
      <c r="T18" s="2"/>
      <c r="U18" s="2"/>
    </row>
    <row r="19" spans="1:21" ht="14.25" customHeight="1">
      <c r="A19" s="3"/>
      <c r="B19" s="3"/>
      <c r="C19" s="3"/>
      <c r="D19" s="74"/>
      <c r="E19" s="3"/>
      <c r="F19" s="3"/>
      <c r="G19" s="3"/>
      <c r="H19" s="3"/>
      <c r="I19" s="3"/>
      <c r="J19" s="3"/>
      <c r="K19" s="59"/>
      <c r="L19" s="3"/>
      <c r="M19" s="75" t="s">
        <v>80</v>
      </c>
      <c r="N19" s="34">
        <f>40000-1250</f>
        <v>38750</v>
      </c>
      <c r="O19" s="35"/>
      <c r="P19" s="37">
        <f t="shared" ref="P19:P20" si="4">$C$12*O19</f>
        <v>0</v>
      </c>
      <c r="Q19" s="2"/>
      <c r="R19" s="2"/>
      <c r="S19" s="2"/>
      <c r="T19" s="2"/>
      <c r="U19" s="2"/>
    </row>
    <row r="20" spans="1:21" ht="14.25" customHeight="1">
      <c r="A20" s="3"/>
      <c r="B20" s="78" t="s">
        <v>83</v>
      </c>
      <c r="C20" s="3" t="s">
        <v>60</v>
      </c>
      <c r="D20" s="3"/>
      <c r="E20" s="3"/>
      <c r="F20" s="1" t="s">
        <v>84</v>
      </c>
      <c r="G20" s="1"/>
      <c r="H20" s="79">
        <v>8</v>
      </c>
      <c r="I20" s="79"/>
      <c r="J20" s="3"/>
      <c r="K20" s="80"/>
      <c r="L20" s="1"/>
      <c r="M20" s="75" t="s">
        <v>86</v>
      </c>
      <c r="N20" s="82">
        <v>25000</v>
      </c>
      <c r="O20" s="83"/>
      <c r="P20" s="84">
        <f t="shared" si="4"/>
        <v>0</v>
      </c>
      <c r="Q20" s="2"/>
      <c r="R20" s="2"/>
      <c r="S20" s="2"/>
      <c r="T20" s="2"/>
      <c r="U20" s="2"/>
    </row>
    <row r="21" spans="1:21" ht="14.25" customHeight="1">
      <c r="A21" s="3"/>
      <c r="B21" s="3" t="s">
        <v>10</v>
      </c>
      <c r="C21" s="86">
        <f>D4</f>
        <v>5000</v>
      </c>
      <c r="D21" s="3"/>
      <c r="E21" s="3"/>
      <c r="F21" s="3" t="s">
        <v>90</v>
      </c>
      <c r="G21" s="3"/>
      <c r="H21" s="88">
        <v>5.5</v>
      </c>
      <c r="I21" s="88"/>
      <c r="J21" s="3"/>
      <c r="K21" s="90">
        <f>SUM(C21:C26)</f>
        <v>27500</v>
      </c>
      <c r="L21" s="3"/>
      <c r="M21" s="92" t="s">
        <v>91</v>
      </c>
      <c r="N21" s="94">
        <f>SUM(N10:N20)</f>
        <v>698126</v>
      </c>
      <c r="O21" s="95"/>
      <c r="P21" s="96">
        <f>SUM(P10:P20)</f>
        <v>25111</v>
      </c>
      <c r="Q21" s="2"/>
      <c r="R21" s="2"/>
      <c r="S21" s="2"/>
      <c r="T21" s="2"/>
      <c r="U21" s="2"/>
    </row>
    <row r="22" spans="1:21" ht="14.25" customHeight="1">
      <c r="A22" s="3"/>
      <c r="B22" s="55" t="s">
        <v>8</v>
      </c>
      <c r="C22" s="97">
        <v>2500</v>
      </c>
      <c r="D22" s="3"/>
      <c r="E22" s="3"/>
      <c r="F22" s="251" t="s">
        <v>96</v>
      </c>
      <c r="G22" s="244"/>
      <c r="H22" s="98">
        <f>H20+H21</f>
        <v>13.5</v>
      </c>
      <c r="I22" s="98"/>
      <c r="J22" s="3"/>
      <c r="K22" s="59"/>
      <c r="L22" s="3"/>
      <c r="M22" s="99" t="s">
        <v>99</v>
      </c>
      <c r="N22" s="100">
        <f>+N21-N20-N19</f>
        <v>634376</v>
      </c>
      <c r="O22" s="101"/>
      <c r="P22" s="102"/>
      <c r="Q22" s="2"/>
      <c r="R22" s="2"/>
      <c r="S22" s="2"/>
      <c r="T22" s="2"/>
      <c r="U22" s="2"/>
    </row>
    <row r="23" spans="1:21" ht="14.25" customHeight="1">
      <c r="A23" s="3"/>
      <c r="B23" s="3" t="s">
        <v>4</v>
      </c>
      <c r="C23" s="86">
        <v>5000</v>
      </c>
      <c r="D23" s="3"/>
      <c r="E23" s="3"/>
      <c r="F23" s="3"/>
      <c r="G23" s="3"/>
      <c r="H23" s="3"/>
      <c r="I23" s="3"/>
      <c r="J23" s="3"/>
      <c r="K23" s="59"/>
      <c r="L23" s="3"/>
      <c r="M23" s="32"/>
      <c r="N23" s="34"/>
      <c r="O23" s="35"/>
      <c r="P23" s="103"/>
      <c r="Q23" s="2"/>
      <c r="R23" s="2"/>
      <c r="S23" s="2"/>
      <c r="T23" s="2"/>
      <c r="U23" s="2"/>
    </row>
    <row r="24" spans="1:21" ht="14.25" customHeight="1">
      <c r="A24" s="3"/>
      <c r="B24" s="3" t="s">
        <v>6</v>
      </c>
      <c r="C24" s="86">
        <f>D4</f>
        <v>5000</v>
      </c>
      <c r="D24" s="3"/>
      <c r="E24" s="3"/>
      <c r="F24" s="3"/>
      <c r="G24" s="3"/>
      <c r="H24" s="3"/>
      <c r="I24" s="3"/>
      <c r="J24" s="3" t="s">
        <v>24</v>
      </c>
      <c r="K24" s="105">
        <f>K15+K16+K21+K14</f>
        <v>672064</v>
      </c>
      <c r="L24" s="3"/>
      <c r="M24" s="32"/>
      <c r="N24" s="34"/>
      <c r="O24" s="35"/>
      <c r="P24" s="103"/>
      <c r="Q24" s="2"/>
      <c r="R24" s="2"/>
      <c r="S24" s="2"/>
      <c r="T24" s="2"/>
      <c r="U24" s="2"/>
    </row>
    <row r="25" spans="1:21" ht="14.25" customHeight="1">
      <c r="A25" s="3"/>
      <c r="B25" s="3" t="s">
        <v>9</v>
      </c>
      <c r="C25" s="86">
        <v>5000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</row>
    <row r="26" spans="1:21" ht="14.25" customHeight="1">
      <c r="A26" s="3"/>
      <c r="B26" s="3" t="s">
        <v>105</v>
      </c>
      <c r="C26" s="86">
        <v>5000</v>
      </c>
      <c r="D26" s="3"/>
      <c r="E26" s="3"/>
      <c r="F26" s="3"/>
      <c r="G26" s="3"/>
      <c r="H26" s="3"/>
      <c r="I26" s="3"/>
      <c r="J26" s="3"/>
      <c r="K26" s="107"/>
      <c r="L26" s="3"/>
      <c r="M26" s="3"/>
      <c r="N26" s="3"/>
      <c r="O26" s="2"/>
      <c r="P26" s="2"/>
      <c r="Q26" s="2"/>
      <c r="R26" s="2"/>
      <c r="S26" s="2"/>
      <c r="T26" s="2"/>
      <c r="U26" s="2"/>
    </row>
    <row r="27" spans="1:21" ht="14.25" customHeight="1">
      <c r="A27" s="1"/>
      <c r="B27" s="1"/>
      <c r="C27" s="1"/>
      <c r="D27" s="1"/>
      <c r="E27" s="3"/>
      <c r="F27" s="3"/>
      <c r="G27" s="3"/>
      <c r="H27" s="3"/>
      <c r="I27" s="3"/>
      <c r="J27" s="3"/>
      <c r="K27" s="6"/>
      <c r="L27" s="1"/>
      <c r="M27" s="3"/>
      <c r="N27" s="3"/>
      <c r="O27" s="2"/>
      <c r="P27" s="2"/>
      <c r="Q27" s="2"/>
      <c r="R27" s="2"/>
      <c r="S27" s="2"/>
      <c r="T27" s="2"/>
      <c r="U27" s="2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08"/>
      <c r="K28" s="109" t="s">
        <v>108</v>
      </c>
      <c r="L28" s="1"/>
      <c r="M28" s="1"/>
      <c r="N28" s="1"/>
      <c r="O28" s="2"/>
      <c r="P28" s="2"/>
      <c r="Q28" s="2"/>
      <c r="R28" s="2"/>
      <c r="S28" s="2"/>
      <c r="T28" s="2"/>
      <c r="U28" s="2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2"/>
      <c r="T34" s="2"/>
      <c r="U34" s="2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  <c r="P35" s="2"/>
      <c r="Q35" s="2"/>
      <c r="R35" s="2"/>
      <c r="S35" s="2"/>
      <c r="T35" s="2"/>
      <c r="U35" s="2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  <c r="Q36" s="2"/>
      <c r="R36" s="2"/>
      <c r="S36" s="2"/>
      <c r="T36" s="2"/>
      <c r="U36" s="2"/>
    </row>
    <row r="37" spans="1:21" ht="13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3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3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3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3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</sheetData>
  <mergeCells count="14">
    <mergeCell ref="D3:E3"/>
    <mergeCell ref="A1:K1"/>
    <mergeCell ref="F3:G3"/>
    <mergeCell ref="D4:E4"/>
    <mergeCell ref="B4:C4"/>
    <mergeCell ref="B5:C5"/>
    <mergeCell ref="D5:E5"/>
    <mergeCell ref="F4:G4"/>
    <mergeCell ref="F22:G22"/>
    <mergeCell ref="F5:G5"/>
    <mergeCell ref="A9:K9"/>
    <mergeCell ref="A8:K8"/>
    <mergeCell ref="A10:K10"/>
    <mergeCell ref="A7:K7"/>
  </mergeCells>
  <phoneticPr fontId="42"/>
  <conditionalFormatting sqref="K28">
    <cfRule type="notContainsBlanks" dxfId="0" priority="1">
      <formula>LEN(TRIM(K28))&gt;0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32" sqref="G32"/>
    </sheetView>
  </sheetViews>
  <sheetFormatPr defaultColWidth="17.33203125" defaultRowHeight="15" customHeight="1"/>
  <cols>
    <col min="1" max="1" width="43.33203125" customWidth="1"/>
    <col min="2" max="2" width="13.88671875" customWidth="1"/>
    <col min="3" max="3" width="22.88671875" customWidth="1"/>
    <col min="4" max="4" width="29.33203125" customWidth="1"/>
    <col min="5" max="5" width="18.5546875" customWidth="1"/>
    <col min="6" max="6" width="16.33203125" customWidth="1"/>
    <col min="7" max="7" width="110.109375" customWidth="1"/>
    <col min="8" max="10" width="9.109375" customWidth="1"/>
    <col min="11" max="11" width="23.5546875" customWidth="1"/>
    <col min="12" max="12" width="17.33203125" customWidth="1"/>
  </cols>
  <sheetData>
    <row r="1" spans="1:26" ht="15" customHeight="1">
      <c r="A1" s="260" t="s">
        <v>123</v>
      </c>
      <c r="B1" s="261"/>
      <c r="C1" s="261"/>
      <c r="D1" s="261"/>
      <c r="E1" s="261"/>
      <c r="F1" s="262"/>
      <c r="G1" s="127"/>
      <c r="H1" s="3"/>
      <c r="I1" s="3"/>
      <c r="J1" s="1"/>
      <c r="K1" s="1"/>
      <c r="L1" s="2"/>
    </row>
    <row r="2" spans="1:26" ht="15" customHeight="1">
      <c r="A2" s="128" t="s">
        <v>124</v>
      </c>
      <c r="B2" s="129" t="s">
        <v>125</v>
      </c>
      <c r="C2" s="130"/>
      <c r="D2" s="131" t="s">
        <v>126</v>
      </c>
      <c r="E2" s="131" t="s">
        <v>127</v>
      </c>
      <c r="F2" s="129" t="s">
        <v>128</v>
      </c>
      <c r="G2" s="132"/>
      <c r="H2" s="6"/>
      <c r="I2" s="3"/>
      <c r="J2" s="1"/>
      <c r="K2" s="1"/>
      <c r="L2" s="2"/>
    </row>
    <row r="3" spans="1:26" ht="15" customHeight="1">
      <c r="A3" s="133" t="s">
        <v>34</v>
      </c>
      <c r="B3" s="134" t="s">
        <v>129</v>
      </c>
      <c r="C3" s="135"/>
      <c r="D3" s="134">
        <v>100</v>
      </c>
      <c r="E3" s="136"/>
      <c r="F3" s="134">
        <v>100</v>
      </c>
      <c r="G3" s="137"/>
      <c r="H3" s="6"/>
      <c r="I3" s="3"/>
      <c r="J3" s="1"/>
      <c r="K3" s="1"/>
      <c r="L3" s="2"/>
    </row>
    <row r="4" spans="1:26" ht="15" customHeight="1">
      <c r="A4" s="133" t="s">
        <v>39</v>
      </c>
      <c r="B4" s="134" t="s">
        <v>129</v>
      </c>
      <c r="C4" s="135"/>
      <c r="D4" s="134">
        <v>100</v>
      </c>
      <c r="E4" s="136"/>
      <c r="F4" s="134">
        <v>100</v>
      </c>
      <c r="G4" s="137"/>
      <c r="H4" s="6"/>
      <c r="I4" s="3"/>
      <c r="J4" s="1"/>
      <c r="K4" s="1"/>
      <c r="L4" s="2"/>
    </row>
    <row r="5" spans="1:26" ht="15" customHeight="1">
      <c r="A5" s="133" t="s">
        <v>40</v>
      </c>
      <c r="B5" s="134" t="s">
        <v>129</v>
      </c>
      <c r="C5" s="135"/>
      <c r="D5" s="134">
        <v>2400</v>
      </c>
      <c r="E5" s="136"/>
      <c r="F5" s="134">
        <v>2400</v>
      </c>
      <c r="G5" s="137"/>
      <c r="H5" s="6"/>
      <c r="I5" s="3"/>
      <c r="J5" s="1"/>
      <c r="K5" s="1"/>
      <c r="L5" s="2"/>
    </row>
    <row r="6" spans="1:26" ht="15" customHeight="1">
      <c r="A6" s="133" t="s">
        <v>41</v>
      </c>
      <c r="B6" s="134" t="s">
        <v>129</v>
      </c>
      <c r="C6" s="138"/>
      <c r="D6" s="134">
        <v>20800</v>
      </c>
      <c r="E6" s="139"/>
      <c r="F6" s="134">
        <v>20800</v>
      </c>
      <c r="G6" s="137"/>
      <c r="H6" s="6"/>
      <c r="I6" s="3"/>
      <c r="J6" s="3"/>
      <c r="K6" s="3"/>
      <c r="L6" s="2"/>
    </row>
    <row r="7" spans="1:26" ht="15" customHeight="1">
      <c r="A7" s="133" t="s">
        <v>43</v>
      </c>
      <c r="B7" s="134" t="s">
        <v>129</v>
      </c>
      <c r="C7" s="135"/>
      <c r="D7" s="134">
        <v>0</v>
      </c>
      <c r="E7" s="136"/>
      <c r="F7" s="134">
        <v>0</v>
      </c>
      <c r="G7" s="137"/>
      <c r="H7" s="6"/>
      <c r="I7" s="3"/>
      <c r="J7" s="3"/>
      <c r="K7" s="3"/>
      <c r="L7" s="2"/>
    </row>
    <row r="8" spans="1:26" ht="15" customHeight="1">
      <c r="A8" s="282" t="s">
        <v>130</v>
      </c>
      <c r="B8" s="134" t="s">
        <v>129</v>
      </c>
      <c r="C8" s="135"/>
      <c r="D8" s="134">
        <v>2800</v>
      </c>
      <c r="E8" s="136"/>
      <c r="F8" s="283">
        <v>2800</v>
      </c>
      <c r="G8" s="140" t="s">
        <v>131</v>
      </c>
      <c r="H8" s="6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33" t="s">
        <v>44</v>
      </c>
      <c r="B9" s="134" t="s">
        <v>129</v>
      </c>
      <c r="C9" s="135"/>
      <c r="D9" s="134">
        <v>100</v>
      </c>
      <c r="E9" s="136"/>
      <c r="F9" s="134">
        <v>100</v>
      </c>
      <c r="G9" s="137"/>
      <c r="H9" s="3"/>
      <c r="I9" s="3"/>
      <c r="J9" s="1"/>
      <c r="K9" s="1"/>
      <c r="L9" s="2"/>
    </row>
    <row r="10" spans="1:26" ht="15" customHeight="1">
      <c r="A10" s="141"/>
      <c r="B10" s="142"/>
      <c r="C10" s="143"/>
      <c r="D10" s="144"/>
      <c r="E10" s="145" t="s">
        <v>45</v>
      </c>
      <c r="F10" s="142">
        <f>SUM(F3:F9)</f>
        <v>26300</v>
      </c>
      <c r="G10" s="146"/>
      <c r="H10" s="3"/>
      <c r="I10" s="3"/>
      <c r="J10" s="1"/>
      <c r="K10" s="1"/>
      <c r="L10" s="2"/>
    </row>
    <row r="11" spans="1:26" ht="15" customHeight="1">
      <c r="A11" s="147"/>
      <c r="B11" s="148"/>
      <c r="C11" s="149"/>
      <c r="D11" s="150"/>
      <c r="E11" s="149"/>
      <c r="F11" s="151"/>
      <c r="G11" s="146"/>
      <c r="H11" s="71"/>
      <c r="I11" s="71"/>
      <c r="J11" s="1"/>
      <c r="K11" s="1"/>
      <c r="L11" s="2"/>
    </row>
    <row r="12" spans="1:26" ht="15" customHeight="1">
      <c r="A12" s="128" t="s">
        <v>61</v>
      </c>
      <c r="B12" s="129"/>
      <c r="C12" s="130"/>
      <c r="D12" s="152"/>
      <c r="E12" s="130"/>
      <c r="F12" s="129" t="s">
        <v>128</v>
      </c>
      <c r="G12" s="132"/>
      <c r="H12" s="3"/>
      <c r="I12" s="3"/>
      <c r="J12" s="3"/>
      <c r="K12" s="3"/>
      <c r="L12" s="2"/>
    </row>
    <row r="13" spans="1:26" ht="15" customHeight="1">
      <c r="A13" s="280" t="s">
        <v>68</v>
      </c>
      <c r="B13" s="284" t="s">
        <v>129</v>
      </c>
      <c r="C13" s="281"/>
      <c r="D13" s="284">
        <f>'2016 MARCOM Budget'!J4</f>
        <v>48000</v>
      </c>
      <c r="E13" s="281"/>
      <c r="F13" s="284">
        <f t="shared" ref="F13:F18" si="0">+D13</f>
        <v>48000</v>
      </c>
      <c r="G13" s="127" t="s">
        <v>131</v>
      </c>
      <c r="H13" s="3"/>
      <c r="I13" s="3"/>
      <c r="J13" s="154"/>
      <c r="K13" s="154"/>
      <c r="L13" s="2"/>
    </row>
    <row r="14" spans="1:26" ht="15" customHeight="1">
      <c r="A14" s="280" t="s">
        <v>70</v>
      </c>
      <c r="B14" s="284" t="s">
        <v>129</v>
      </c>
      <c r="C14" s="281"/>
      <c r="D14" s="284">
        <f>'2016 MARCOM Budget'!J7</f>
        <v>750</v>
      </c>
      <c r="E14" s="281"/>
      <c r="F14" s="284">
        <f t="shared" si="0"/>
        <v>750</v>
      </c>
      <c r="G14" s="127"/>
      <c r="H14" s="3"/>
      <c r="I14" s="3"/>
      <c r="J14" s="154"/>
      <c r="K14" s="154"/>
      <c r="L14" s="2"/>
    </row>
    <row r="15" spans="1:26" ht="15" customHeight="1">
      <c r="A15" s="285" t="s">
        <v>73</v>
      </c>
      <c r="B15" s="284" t="s">
        <v>129</v>
      </c>
      <c r="C15" s="281"/>
      <c r="D15" s="284">
        <f>'2016 MARCOM Budget'!J12</f>
        <v>2000</v>
      </c>
      <c r="E15" s="281"/>
      <c r="F15" s="284">
        <f t="shared" si="0"/>
        <v>2000</v>
      </c>
      <c r="G15" s="127" t="s">
        <v>131</v>
      </c>
      <c r="H15" s="3"/>
      <c r="I15" s="3"/>
      <c r="J15" s="1"/>
      <c r="K15" s="1"/>
      <c r="L15" s="2"/>
    </row>
    <row r="16" spans="1:26" ht="15" customHeight="1">
      <c r="A16" s="280" t="s">
        <v>132</v>
      </c>
      <c r="B16" s="284" t="s">
        <v>129</v>
      </c>
      <c r="C16" s="281"/>
      <c r="D16" s="284">
        <v>2500</v>
      </c>
      <c r="E16" s="281"/>
      <c r="F16" s="284">
        <f t="shared" si="0"/>
        <v>2500</v>
      </c>
      <c r="G16" s="127" t="s">
        <v>131</v>
      </c>
      <c r="H16" s="3"/>
      <c r="I16" s="3"/>
      <c r="J16" s="154"/>
      <c r="K16" s="154"/>
      <c r="L16" s="2"/>
    </row>
    <row r="17" spans="1:12" ht="15" customHeight="1">
      <c r="A17" s="280" t="s">
        <v>77</v>
      </c>
      <c r="B17" s="284" t="s">
        <v>129</v>
      </c>
      <c r="C17" s="281"/>
      <c r="D17" s="284">
        <f>'2016 MARCOM Budget'!H19</f>
        <v>3050</v>
      </c>
      <c r="E17" s="281"/>
      <c r="F17" s="284">
        <f t="shared" si="0"/>
        <v>3050</v>
      </c>
      <c r="G17" s="127"/>
      <c r="H17" s="3"/>
      <c r="I17" s="3"/>
      <c r="J17" s="154"/>
      <c r="K17" s="154"/>
      <c r="L17" s="2"/>
    </row>
    <row r="18" spans="1:12" ht="15" customHeight="1">
      <c r="A18" s="280" t="s">
        <v>79</v>
      </c>
      <c r="B18" s="284" t="s">
        <v>129</v>
      </c>
      <c r="C18" s="281"/>
      <c r="D18" s="284">
        <f>'2016 MARCOM Budget'!H24</f>
        <v>0</v>
      </c>
      <c r="E18" s="281"/>
      <c r="F18" s="284">
        <f t="shared" si="0"/>
        <v>0</v>
      </c>
      <c r="G18" s="127"/>
      <c r="H18" s="3"/>
      <c r="I18" s="3"/>
      <c r="J18" s="154"/>
      <c r="K18" s="154"/>
      <c r="L18" s="2"/>
    </row>
    <row r="19" spans="1:12" ht="15" customHeight="1">
      <c r="A19" s="155"/>
      <c r="B19" s="156"/>
      <c r="C19" s="135"/>
      <c r="D19" s="134"/>
      <c r="E19" s="135"/>
      <c r="F19" s="156"/>
      <c r="G19" s="127"/>
      <c r="H19" s="3"/>
      <c r="I19" s="3"/>
      <c r="J19" s="3"/>
      <c r="K19" s="3"/>
      <c r="L19" s="2"/>
    </row>
    <row r="20" spans="1:12" ht="15" customHeight="1">
      <c r="A20" s="157"/>
      <c r="B20" s="158"/>
      <c r="C20" s="159"/>
      <c r="D20" s="160"/>
      <c r="E20" s="145" t="s">
        <v>45</v>
      </c>
      <c r="F20" s="142">
        <f>SUM(F13:F19)</f>
        <v>56300</v>
      </c>
      <c r="G20" s="127"/>
      <c r="H20" s="3"/>
      <c r="I20" s="3"/>
      <c r="J20" s="1"/>
      <c r="K20" s="1"/>
      <c r="L20" s="2"/>
    </row>
    <row r="21" spans="1:12" ht="14.25" customHeight="1">
      <c r="A21" s="161"/>
      <c r="B21" s="148"/>
      <c r="C21" s="149"/>
      <c r="D21" s="150"/>
      <c r="E21" s="149"/>
      <c r="F21" s="148"/>
      <c r="G21" s="3"/>
      <c r="H21" s="3"/>
      <c r="I21" s="3"/>
      <c r="J21" s="1"/>
      <c r="K21" s="1"/>
      <c r="L21" s="2"/>
    </row>
    <row r="22" spans="1:12" ht="14.25" customHeight="1">
      <c r="A22" s="128" t="s">
        <v>48</v>
      </c>
      <c r="B22" s="142"/>
      <c r="C22" s="130"/>
      <c r="D22" s="152"/>
      <c r="E22" s="162"/>
      <c r="F22" s="162"/>
      <c r="G22" s="146"/>
      <c r="H22" s="3"/>
      <c r="I22" s="3"/>
      <c r="J22" s="3"/>
      <c r="K22" s="3"/>
      <c r="L22" s="2"/>
    </row>
    <row r="23" spans="1:12" ht="14.25" customHeight="1">
      <c r="A23" s="286" t="s">
        <v>66</v>
      </c>
      <c r="B23" s="287"/>
      <c r="C23" s="288"/>
      <c r="D23" s="289">
        <v>28500</v>
      </c>
      <c r="E23" s="290">
        <v>0</v>
      </c>
      <c r="F23" s="283">
        <v>0</v>
      </c>
      <c r="G23" s="127" t="s">
        <v>131</v>
      </c>
      <c r="H23" s="3"/>
      <c r="I23" s="3"/>
      <c r="J23" s="3"/>
      <c r="K23" s="3"/>
      <c r="L23" s="1"/>
    </row>
    <row r="24" spans="1:12" ht="14.25" customHeight="1">
      <c r="A24" s="153" t="s">
        <v>133</v>
      </c>
      <c r="B24" s="163"/>
      <c r="C24" s="135"/>
      <c r="D24" s="134">
        <v>1500</v>
      </c>
      <c r="E24" s="164"/>
      <c r="F24" s="134">
        <v>1500</v>
      </c>
      <c r="G24" s="165" t="s">
        <v>131</v>
      </c>
      <c r="H24" s="3"/>
      <c r="I24" s="3"/>
      <c r="J24" s="3"/>
      <c r="K24" s="3"/>
      <c r="L24" s="2"/>
    </row>
    <row r="25" spans="1:12" ht="14.25" customHeight="1">
      <c r="A25" s="153"/>
      <c r="B25" s="163"/>
      <c r="C25" s="135"/>
      <c r="D25" s="134"/>
      <c r="E25" s="164"/>
      <c r="F25" s="163"/>
      <c r="G25" s="165"/>
      <c r="H25" s="3"/>
      <c r="I25" s="3"/>
      <c r="J25" s="3"/>
      <c r="K25" s="3"/>
      <c r="L25" s="1"/>
    </row>
    <row r="26" spans="1:12" ht="14.25" customHeight="1">
      <c r="A26" s="128" t="s">
        <v>134</v>
      </c>
      <c r="B26" s="129"/>
      <c r="C26" s="130" t="s">
        <v>135</v>
      </c>
      <c r="D26" s="152" t="s">
        <v>136</v>
      </c>
      <c r="E26" s="130" t="s">
        <v>137</v>
      </c>
      <c r="F26" s="129" t="s">
        <v>128</v>
      </c>
      <c r="G26" s="127"/>
      <c r="H26" s="3"/>
      <c r="I26" s="3"/>
      <c r="J26" s="3"/>
      <c r="K26" s="3"/>
      <c r="L26" s="2"/>
    </row>
    <row r="27" spans="1:12" ht="14.25" customHeight="1">
      <c r="A27" s="153" t="s">
        <v>138</v>
      </c>
      <c r="B27" s="134" t="s">
        <v>129</v>
      </c>
      <c r="C27" s="166">
        <v>2000</v>
      </c>
      <c r="D27" s="167">
        <v>350</v>
      </c>
      <c r="E27" s="168">
        <v>20</v>
      </c>
      <c r="F27" s="167">
        <f>(C27*4)+(D27*E27)</f>
        <v>15000</v>
      </c>
      <c r="G27" s="263"/>
      <c r="H27" s="244"/>
      <c r="I27" s="244"/>
      <c r="J27" s="244"/>
      <c r="K27" s="244"/>
      <c r="L27" s="2"/>
    </row>
    <row r="28" spans="1:12" ht="14.25" customHeight="1">
      <c r="A28" s="153" t="s">
        <v>139</v>
      </c>
      <c r="B28" s="134" t="s">
        <v>129</v>
      </c>
      <c r="C28" s="166">
        <v>500</v>
      </c>
      <c r="D28" s="167">
        <v>350</v>
      </c>
      <c r="E28" s="168">
        <v>10</v>
      </c>
      <c r="F28" s="167">
        <f>(C28*2)+(D28*E28)</f>
        <v>4500</v>
      </c>
      <c r="G28" s="127"/>
      <c r="H28" s="3"/>
      <c r="I28" s="3"/>
      <c r="J28" s="3"/>
      <c r="K28" s="3"/>
      <c r="L28" s="2"/>
    </row>
    <row r="29" spans="1:12" ht="14.25" customHeight="1">
      <c r="A29" s="153" t="s">
        <v>140</v>
      </c>
      <c r="B29" s="134" t="s">
        <v>129</v>
      </c>
      <c r="C29" s="166">
        <v>1500</v>
      </c>
      <c r="D29" s="167">
        <v>350</v>
      </c>
      <c r="E29" s="168">
        <v>2</v>
      </c>
      <c r="F29" s="167">
        <f>(C29*1)+(D29*E29)</f>
        <v>2200</v>
      </c>
      <c r="G29" s="127"/>
      <c r="H29" s="3"/>
      <c r="I29" s="3"/>
      <c r="J29" s="3"/>
      <c r="K29" s="3"/>
      <c r="L29" s="2"/>
    </row>
    <row r="30" spans="1:12" ht="14.25" customHeight="1">
      <c r="A30" s="141"/>
      <c r="B30" s="142"/>
      <c r="C30" s="130"/>
      <c r="D30" s="152"/>
      <c r="E30" s="145" t="s">
        <v>45</v>
      </c>
      <c r="F30" s="169">
        <f>(SUM(F27:F28)*4)+(F29)</f>
        <v>80200</v>
      </c>
      <c r="G30" s="127"/>
      <c r="H30" s="3"/>
      <c r="I30" s="3"/>
      <c r="J30" s="3"/>
      <c r="K30" s="3"/>
      <c r="L30" s="2"/>
    </row>
    <row r="31" spans="1:12" ht="14.25" customHeight="1">
      <c r="A31" s="170"/>
      <c r="B31" s="171"/>
      <c r="C31" s="172"/>
      <c r="D31" s="173"/>
      <c r="E31" s="174"/>
      <c r="F31" s="175"/>
      <c r="G31" s="71"/>
      <c r="H31" s="3"/>
      <c r="I31" s="3"/>
      <c r="J31" s="3"/>
      <c r="K31" s="3"/>
      <c r="L31" s="2"/>
    </row>
    <row r="32" spans="1:12" ht="14.25" customHeight="1">
      <c r="A32" s="72"/>
      <c r="B32" s="3"/>
      <c r="C32" s="38"/>
      <c r="D32" s="176"/>
      <c r="E32" s="177" t="s">
        <v>141</v>
      </c>
      <c r="F32" s="178">
        <f>((F10+F20)+F23+F24)+F30</f>
        <v>164300</v>
      </c>
      <c r="G32" s="179"/>
      <c r="H32" s="71"/>
      <c r="I32" s="3"/>
      <c r="J32" s="1"/>
      <c r="K32" s="1"/>
      <c r="L32" s="2"/>
    </row>
    <row r="33" spans="1:12" ht="14.25" customHeight="1">
      <c r="A33" s="3"/>
      <c r="B33" s="3"/>
      <c r="C33" s="38"/>
      <c r="D33" s="180"/>
      <c r="E33" s="181"/>
      <c r="F33" s="182"/>
      <c r="G33" s="21"/>
      <c r="H33" s="3"/>
      <c r="I33" s="3"/>
      <c r="J33" s="3"/>
      <c r="K33" s="3"/>
      <c r="L33" s="2"/>
    </row>
    <row r="34" spans="1:1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</row>
    <row r="35" spans="1:1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</row>
    <row r="36" spans="1:12" ht="13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3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3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3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3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3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3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3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3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3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3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3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3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3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3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3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3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3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3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3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3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3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3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3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3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3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3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3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3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3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3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3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3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3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3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3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3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3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3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3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3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3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3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3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3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3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3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3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3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3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3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3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3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3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3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3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3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3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3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3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3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3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3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3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3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3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3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3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3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3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3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3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3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3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3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3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3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3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3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3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3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3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3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3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3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3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3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3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3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3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3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3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3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3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3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3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3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3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3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3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3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3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3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3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3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3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3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3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3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3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3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3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3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3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3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3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3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3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3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3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3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3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3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3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3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3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3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3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3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3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3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3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3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3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3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3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3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3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3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3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3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3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3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3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3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3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3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3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3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3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3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3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3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3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3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3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3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3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3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3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3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3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3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3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3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3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3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3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3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3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3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3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3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3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3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3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3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3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3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3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3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3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3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3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3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3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3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3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3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3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3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3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3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3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3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3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3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3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3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3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3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3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3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3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3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3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3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3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3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3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3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3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3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3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3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3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3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3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3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3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3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3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3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3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3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3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3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3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3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3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3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3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3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3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3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3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3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3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3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3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3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3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3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3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3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3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3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3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3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3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3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3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3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3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3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3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3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3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3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3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3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3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3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3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3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3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3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3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3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3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3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3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3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3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3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3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3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3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3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3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3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3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3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3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3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3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3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3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3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3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3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3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3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3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3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3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3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3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3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3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3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3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3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3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3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3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3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3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3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3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3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3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3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3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3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3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3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3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3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3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3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3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3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3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3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3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3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3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3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3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3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3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3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3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3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3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3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3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3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3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3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3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3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3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3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3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3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3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3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3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3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3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3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3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3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3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3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3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3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3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3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3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3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3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3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3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3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3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3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3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3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3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3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3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3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3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3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3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3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3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3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3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3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3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3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3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3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3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3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3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3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3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3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3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3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3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3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3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3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3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3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3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3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3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3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3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3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3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3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3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3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3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3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3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3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3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3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3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3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3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3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3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3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3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3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3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3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3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3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3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3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3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3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3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3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3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3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3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3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3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3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3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3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3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3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3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3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3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3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3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3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3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3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3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3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3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3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3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3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3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3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3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3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3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3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3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3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3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3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3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3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3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3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3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3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3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3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3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3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3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3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3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3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3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3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3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3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3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3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3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3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3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3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3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3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3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3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3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3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3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3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3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3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3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3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3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3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3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3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3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3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3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3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3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3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3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3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3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3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3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3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3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3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3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3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3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3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3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3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3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3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3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3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3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3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3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3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3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3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3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3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3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3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3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3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3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3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3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3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3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3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3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3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3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3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3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3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3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3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3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3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3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3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3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3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3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3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3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3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3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3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3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3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3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3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3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3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3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3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3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3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3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3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3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3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3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3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3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3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3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3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3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3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3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3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3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3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3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3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3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3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3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3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3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3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3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3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3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3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3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3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3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3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3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3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3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3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3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3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3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3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3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3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3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3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3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3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3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3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3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3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3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3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3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3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3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3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3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3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3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3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3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3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3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3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3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3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3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3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3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3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3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3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3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3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3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3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3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3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3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3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3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3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3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3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3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3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3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3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3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3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3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3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3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3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3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3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3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3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3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3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3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3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3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3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3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3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3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3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3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3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3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3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3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3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3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3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3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3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3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3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3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3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3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3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3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3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3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3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3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3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3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3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3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3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3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3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3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3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3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3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3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3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3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3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3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3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3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3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3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3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3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3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3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3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3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3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3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3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3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3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3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3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3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3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3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3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3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3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3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3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3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3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3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3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3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3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3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3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3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3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3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3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3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3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3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3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3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3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3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3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3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3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3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3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3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3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3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3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3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3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3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3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3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3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3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3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3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3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3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3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3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3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3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3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3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3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3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3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3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3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3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3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3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3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3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3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3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3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3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3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3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3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3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3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3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3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3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3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3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3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3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3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3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3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3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3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3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3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3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3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3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3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3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3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3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3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3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3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3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3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3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3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3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3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3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3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3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3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3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3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3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3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3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3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3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3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3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3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3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3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3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3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3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3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3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3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3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3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3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3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3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3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3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3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3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3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3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3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3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3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3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3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3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3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3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3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3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3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3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3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3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3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3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3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3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3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3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3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3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3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3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3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3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3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3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3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3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3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3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3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3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3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3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3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3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3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3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3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3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3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3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3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3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3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3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3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3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3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3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3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3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3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3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3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3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3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3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3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3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3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</sheetData>
  <mergeCells count="2">
    <mergeCell ref="A1:F1"/>
    <mergeCell ref="G27:K27"/>
  </mergeCells>
  <phoneticPr fontId="4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8" sqref="A8:F8"/>
    </sheetView>
  </sheetViews>
  <sheetFormatPr defaultColWidth="17.33203125" defaultRowHeight="15" customHeight="1"/>
  <cols>
    <col min="1" max="1" width="40" customWidth="1"/>
    <col min="2" max="2" width="14" customWidth="1"/>
    <col min="3" max="3" width="28.88671875" customWidth="1"/>
    <col min="4" max="4" width="16.44140625" customWidth="1"/>
    <col min="5" max="5" width="13.44140625" customWidth="1"/>
    <col min="6" max="6" width="29.5546875" customWidth="1"/>
    <col min="7" max="7" width="39.6640625" customWidth="1"/>
    <col min="8" max="8" width="9.109375" customWidth="1"/>
    <col min="9" max="9" width="17.33203125" customWidth="1"/>
  </cols>
  <sheetData>
    <row r="1" spans="1:9" ht="18.75" customHeight="1">
      <c r="A1" s="260" t="s">
        <v>142</v>
      </c>
      <c r="B1" s="261"/>
      <c r="C1" s="261"/>
      <c r="D1" s="261"/>
      <c r="E1" s="261"/>
      <c r="F1" s="262"/>
      <c r="G1" s="183"/>
      <c r="H1" s="3"/>
      <c r="I1" s="2"/>
    </row>
    <row r="2" spans="1:9" ht="45" customHeight="1">
      <c r="A2" s="184" t="s">
        <v>143</v>
      </c>
      <c r="B2" s="184" t="s">
        <v>144</v>
      </c>
      <c r="C2" s="185" t="s">
        <v>145</v>
      </c>
      <c r="D2" s="185" t="s">
        <v>146</v>
      </c>
      <c r="E2" s="185" t="s">
        <v>147</v>
      </c>
      <c r="F2" s="185" t="s">
        <v>148</v>
      </c>
      <c r="G2" s="184" t="s">
        <v>149</v>
      </c>
      <c r="H2" s="127"/>
      <c r="I2" s="2"/>
    </row>
    <row r="3" spans="1:9" ht="14.25" customHeight="1">
      <c r="A3" s="153" t="s">
        <v>89</v>
      </c>
      <c r="B3" s="135">
        <v>7</v>
      </c>
      <c r="C3" s="135">
        <v>3</v>
      </c>
      <c r="D3" s="135">
        <f>B3*C3+3</f>
        <v>24</v>
      </c>
      <c r="E3" s="135"/>
      <c r="F3" s="135">
        <f>D3/C28</f>
        <v>1.2</v>
      </c>
      <c r="G3" s="186" t="s">
        <v>150</v>
      </c>
      <c r="H3" s="3"/>
      <c r="I3" s="2"/>
    </row>
    <row r="4" spans="1:9" ht="14.25" customHeight="1">
      <c r="A4" s="153" t="s">
        <v>92</v>
      </c>
      <c r="B4" s="135">
        <v>14</v>
      </c>
      <c r="C4" s="135">
        <v>1.5</v>
      </c>
      <c r="D4" s="135">
        <f>B4*C4</f>
        <v>21</v>
      </c>
      <c r="E4" s="135"/>
      <c r="F4" s="135">
        <f>D4/C28</f>
        <v>1.05</v>
      </c>
      <c r="G4" s="127" t="s">
        <v>151</v>
      </c>
      <c r="H4" s="3"/>
      <c r="I4" s="2"/>
    </row>
    <row r="5" spans="1:9" ht="14.25" customHeight="1">
      <c r="A5" s="153" t="s">
        <v>152</v>
      </c>
      <c r="B5" s="135" t="s">
        <v>153</v>
      </c>
      <c r="C5" s="135" t="s">
        <v>153</v>
      </c>
      <c r="D5" s="135">
        <v>21</v>
      </c>
      <c r="E5" s="135"/>
      <c r="F5" s="135">
        <f>D5/C28</f>
        <v>1.05</v>
      </c>
      <c r="G5" s="127" t="s">
        <v>154</v>
      </c>
      <c r="H5" s="187"/>
      <c r="I5" s="2"/>
    </row>
    <row r="6" spans="1:9" ht="14.25" customHeight="1">
      <c r="A6" s="153" t="s">
        <v>94</v>
      </c>
      <c r="B6" s="135">
        <v>14</v>
      </c>
      <c r="C6" s="135">
        <v>1.5</v>
      </c>
      <c r="D6" s="135">
        <f t="shared" ref="D6:D8" si="0">B6*C6</f>
        <v>21</v>
      </c>
      <c r="E6" s="135"/>
      <c r="F6" s="135">
        <f>D6/C28</f>
        <v>1.05</v>
      </c>
      <c r="G6" s="127" t="s">
        <v>151</v>
      </c>
      <c r="H6" s="188"/>
      <c r="I6" s="2"/>
    </row>
    <row r="7" spans="1:9" ht="14.25" customHeight="1">
      <c r="A7" s="153" t="s">
        <v>95</v>
      </c>
      <c r="B7" s="135">
        <v>14</v>
      </c>
      <c r="C7" s="135">
        <v>1.5</v>
      </c>
      <c r="D7" s="135">
        <f t="shared" si="0"/>
        <v>21</v>
      </c>
      <c r="E7" s="135"/>
      <c r="F7" s="135">
        <f>D7/C28</f>
        <v>1.05</v>
      </c>
      <c r="G7" s="127" t="s">
        <v>151</v>
      </c>
      <c r="H7" s="3"/>
      <c r="I7" s="2"/>
    </row>
    <row r="8" spans="1:9" ht="14.25" customHeight="1">
      <c r="A8" s="280" t="s">
        <v>61</v>
      </c>
      <c r="B8" s="281">
        <v>14</v>
      </c>
      <c r="C8" s="281">
        <v>1.5</v>
      </c>
      <c r="D8" s="281">
        <f t="shared" si="0"/>
        <v>21</v>
      </c>
      <c r="E8" s="281"/>
      <c r="F8" s="281">
        <f>D8/C28</f>
        <v>1.05</v>
      </c>
      <c r="G8" s="127" t="s">
        <v>155</v>
      </c>
      <c r="H8" s="3"/>
      <c r="I8" s="2"/>
    </row>
    <row r="9" spans="1:9" ht="14.25" customHeight="1">
      <c r="A9" s="189" t="s">
        <v>156</v>
      </c>
      <c r="B9" s="189"/>
      <c r="C9" s="189"/>
      <c r="D9" s="189">
        <f>SUM(D3:D8)</f>
        <v>129</v>
      </c>
      <c r="E9" s="189"/>
      <c r="F9" s="189">
        <f>SUM(F3:F8)</f>
        <v>6.4499999999999993</v>
      </c>
      <c r="G9" s="127" t="s">
        <v>157</v>
      </c>
      <c r="H9" s="3"/>
      <c r="I9" s="2"/>
    </row>
    <row r="10" spans="1:9" ht="12" customHeight="1">
      <c r="A10" s="147"/>
      <c r="B10" s="147"/>
      <c r="C10" s="147"/>
      <c r="D10" s="147"/>
      <c r="E10" s="147"/>
      <c r="F10" s="147"/>
      <c r="G10" s="3"/>
      <c r="H10" s="3"/>
      <c r="I10" s="2"/>
    </row>
    <row r="11" spans="1:9" ht="30" customHeight="1">
      <c r="A11" s="185" t="s">
        <v>143</v>
      </c>
      <c r="B11" s="184" t="s">
        <v>144</v>
      </c>
      <c r="C11" s="185" t="s">
        <v>145</v>
      </c>
      <c r="D11" s="185" t="s">
        <v>158</v>
      </c>
      <c r="E11" s="185" t="s">
        <v>127</v>
      </c>
      <c r="F11" s="185" t="s">
        <v>148</v>
      </c>
      <c r="G11" s="190"/>
      <c r="H11" s="3"/>
      <c r="I11" s="2"/>
    </row>
    <row r="12" spans="1:9" ht="14.25" customHeight="1">
      <c r="A12" s="153" t="s">
        <v>159</v>
      </c>
      <c r="B12" s="153"/>
      <c r="C12" s="153"/>
      <c r="D12" s="153">
        <v>20</v>
      </c>
      <c r="E12" s="153"/>
      <c r="F12" s="135">
        <v>1</v>
      </c>
      <c r="G12" s="127"/>
      <c r="H12" s="3"/>
      <c r="I12" s="2"/>
    </row>
    <row r="13" spans="1:9" ht="14.25" customHeight="1">
      <c r="A13" s="153" t="s">
        <v>98</v>
      </c>
      <c r="B13" s="135"/>
      <c r="C13" s="135"/>
      <c r="D13" s="153">
        <v>50</v>
      </c>
      <c r="E13" s="153"/>
      <c r="F13" s="135">
        <v>2.5</v>
      </c>
      <c r="G13" s="127"/>
      <c r="H13" s="3"/>
      <c r="I13" s="2"/>
    </row>
    <row r="14" spans="1:9" ht="14.25" customHeight="1">
      <c r="A14" s="153" t="s">
        <v>160</v>
      </c>
      <c r="B14" s="135"/>
      <c r="C14" s="135"/>
      <c r="D14" s="153">
        <v>370</v>
      </c>
      <c r="E14" s="153"/>
      <c r="F14" s="135">
        <v>18.5</v>
      </c>
      <c r="G14" s="127"/>
      <c r="H14" s="3"/>
      <c r="I14" s="2"/>
    </row>
    <row r="15" spans="1:9" ht="14.25" customHeight="1">
      <c r="A15" s="153" t="s">
        <v>104</v>
      </c>
      <c r="B15" s="135"/>
      <c r="C15" s="135"/>
      <c r="D15" s="153">
        <v>20</v>
      </c>
      <c r="E15" s="191"/>
      <c r="F15" s="135">
        <v>1</v>
      </c>
      <c r="G15" s="140"/>
      <c r="H15" s="3"/>
      <c r="I15" s="2"/>
    </row>
    <row r="16" spans="1:9" ht="14.25" customHeight="1">
      <c r="A16" s="153" t="s">
        <v>106</v>
      </c>
      <c r="B16" s="135"/>
      <c r="C16" s="135"/>
      <c r="D16" s="153">
        <v>40</v>
      </c>
      <c r="E16" s="153"/>
      <c r="F16" s="135">
        <v>2</v>
      </c>
      <c r="G16" s="127"/>
      <c r="H16" s="3"/>
      <c r="I16" s="2"/>
    </row>
    <row r="17" spans="1:26" ht="14.25" customHeight="1">
      <c r="A17" s="279" t="s">
        <v>161</v>
      </c>
      <c r="B17" s="135"/>
      <c r="C17" s="135"/>
      <c r="D17" s="153">
        <v>2</v>
      </c>
      <c r="E17" s="153"/>
      <c r="F17" s="135">
        <v>0.1</v>
      </c>
      <c r="G17" s="127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53" t="s">
        <v>109</v>
      </c>
      <c r="B18" s="153"/>
      <c r="C18" s="153"/>
      <c r="D18" s="153">
        <v>12</v>
      </c>
      <c r="E18" s="153"/>
      <c r="F18" s="135">
        <v>0.6</v>
      </c>
      <c r="G18" s="127"/>
      <c r="H18" s="3"/>
      <c r="I18" s="2"/>
    </row>
    <row r="19" spans="1:26" ht="14.25" customHeight="1">
      <c r="A19" s="153" t="s">
        <v>110</v>
      </c>
      <c r="B19" s="153"/>
      <c r="C19" s="153"/>
      <c r="D19" s="153">
        <v>20</v>
      </c>
      <c r="E19" s="153"/>
      <c r="F19" s="135">
        <v>1</v>
      </c>
      <c r="G19" s="127"/>
      <c r="H19" s="3"/>
      <c r="I19" s="2"/>
    </row>
    <row r="20" spans="1:26" ht="14.25" customHeight="1">
      <c r="A20" s="280" t="s">
        <v>162</v>
      </c>
      <c r="B20" s="280"/>
      <c r="C20" s="280"/>
      <c r="D20" s="280">
        <v>165.6</v>
      </c>
      <c r="E20" s="280"/>
      <c r="F20" s="281">
        <v>8.2799999999999994</v>
      </c>
      <c r="G20" s="127" t="s">
        <v>163</v>
      </c>
      <c r="H20" s="3"/>
      <c r="I20" s="2"/>
    </row>
    <row r="21" spans="1:26" ht="14.25" customHeight="1">
      <c r="A21" s="153" t="s">
        <v>111</v>
      </c>
      <c r="B21" s="153"/>
      <c r="C21" s="153"/>
      <c r="D21" s="153">
        <v>24</v>
      </c>
      <c r="E21" s="153"/>
      <c r="F21" s="135">
        <v>1.2</v>
      </c>
      <c r="G21" s="127"/>
      <c r="H21" s="3"/>
      <c r="I21" s="2"/>
    </row>
    <row r="22" spans="1:26" ht="14.25" customHeight="1">
      <c r="A22" s="189" t="s">
        <v>156</v>
      </c>
      <c r="B22" s="189"/>
      <c r="C22" s="189"/>
      <c r="D22" s="189"/>
      <c r="E22" s="189"/>
      <c r="F22" s="189">
        <f>SUM(F12:F21)</f>
        <v>36.180000000000007</v>
      </c>
      <c r="G22" s="127"/>
      <c r="H22" s="3"/>
      <c r="I22" s="2"/>
    </row>
    <row r="23" spans="1:26" ht="14.25" customHeight="1">
      <c r="A23" s="170"/>
      <c r="B23" s="170"/>
      <c r="C23" s="170"/>
      <c r="D23" s="170"/>
      <c r="E23" s="170"/>
      <c r="F23" s="170"/>
      <c r="G23" s="3"/>
      <c r="H23" s="3"/>
      <c r="I23" s="2"/>
    </row>
    <row r="24" spans="1:26" ht="14.25" customHeight="1">
      <c r="A24" s="153" t="s">
        <v>66</v>
      </c>
      <c r="B24" s="153"/>
      <c r="C24" s="153"/>
      <c r="D24" s="153">
        <v>36.200000000000003</v>
      </c>
      <c r="E24" s="153">
        <v>0</v>
      </c>
      <c r="F24" s="153">
        <v>0</v>
      </c>
      <c r="G24" s="3"/>
      <c r="H24" s="3"/>
      <c r="I24" s="1"/>
    </row>
    <row r="25" spans="1:26" ht="14.25" customHeight="1">
      <c r="A25" s="192"/>
      <c r="B25" s="3"/>
      <c r="C25" s="3"/>
      <c r="D25" s="3"/>
      <c r="E25" s="3"/>
      <c r="F25" s="192"/>
      <c r="G25" s="3"/>
      <c r="H25" s="3"/>
      <c r="I25" s="1"/>
    </row>
    <row r="26" spans="1:26" ht="14.25" customHeight="1">
      <c r="A26" s="193" t="s">
        <v>164</v>
      </c>
      <c r="B26" s="127"/>
      <c r="C26" s="3"/>
      <c r="D26" s="78"/>
      <c r="E26" s="194"/>
      <c r="F26" s="193">
        <f>F22+F9+F24</f>
        <v>42.63000000000001</v>
      </c>
      <c r="G26" s="127"/>
      <c r="H26" s="3"/>
      <c r="I26" s="2"/>
    </row>
    <row r="27" spans="1:26" ht="14.25" customHeight="1">
      <c r="A27" s="170"/>
      <c r="B27" s="3"/>
      <c r="C27" s="3"/>
      <c r="D27" s="3"/>
      <c r="E27" s="3"/>
      <c r="F27" s="147"/>
      <c r="G27" s="3"/>
      <c r="H27" s="3"/>
      <c r="I27" s="2"/>
    </row>
    <row r="28" spans="1:26" ht="14.25" customHeight="1">
      <c r="A28" s="195" t="s">
        <v>165</v>
      </c>
      <c r="B28" s="3"/>
      <c r="C28" s="45">
        <v>20</v>
      </c>
      <c r="D28" s="3"/>
      <c r="E28" s="196"/>
      <c r="F28" s="197">
        <f>+F26/12</f>
        <v>3.5525000000000007</v>
      </c>
      <c r="G28" s="127" t="s">
        <v>166</v>
      </c>
      <c r="H28" s="3"/>
      <c r="I28" s="2"/>
    </row>
    <row r="29" spans="1:26" ht="14.25" customHeight="1">
      <c r="A29" s="3" t="s">
        <v>167</v>
      </c>
      <c r="B29" s="3"/>
      <c r="C29" s="74">
        <v>150000</v>
      </c>
      <c r="D29" s="3"/>
      <c r="E29" s="3"/>
      <c r="F29" s="147"/>
      <c r="G29" s="3"/>
      <c r="H29" s="3"/>
      <c r="I29" s="2"/>
    </row>
    <row r="30" spans="1:26" ht="14.25" customHeight="1">
      <c r="A30" s="3"/>
      <c r="B30" s="3"/>
      <c r="C30" s="3"/>
      <c r="D30" s="3"/>
      <c r="E30" s="196"/>
      <c r="F30" s="198">
        <f>F28*150000</f>
        <v>532875.00000000012</v>
      </c>
      <c r="G30" s="127" t="s">
        <v>168</v>
      </c>
      <c r="H30" s="3"/>
      <c r="I30" s="2"/>
    </row>
    <row r="31" spans="1:26" ht="14.25" customHeight="1">
      <c r="A31" s="3"/>
      <c r="B31" s="3"/>
      <c r="C31" s="3"/>
      <c r="D31" s="3"/>
      <c r="E31" s="3"/>
      <c r="F31" s="170"/>
      <c r="G31" s="3"/>
      <c r="H31" s="3"/>
      <c r="I31" s="2"/>
    </row>
    <row r="32" spans="1:26" ht="14.25" customHeight="1">
      <c r="A32" s="3" t="s">
        <v>169</v>
      </c>
      <c r="B32" s="3"/>
      <c r="C32" s="3">
        <f>C29/(C28*12)</f>
        <v>625</v>
      </c>
      <c r="D32" s="3"/>
      <c r="E32" s="3"/>
      <c r="F32" s="3"/>
      <c r="G32" s="3"/>
      <c r="H32" s="3"/>
      <c r="I32" s="2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2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2"/>
    </row>
    <row r="35" spans="1:9" ht="13.2">
      <c r="A35" s="2"/>
      <c r="B35" s="2"/>
      <c r="C35" s="2"/>
      <c r="D35" s="2"/>
      <c r="E35" s="2"/>
      <c r="F35" s="2"/>
      <c r="G35" s="2"/>
      <c r="H35" s="2"/>
      <c r="I35" s="2"/>
    </row>
    <row r="36" spans="1:9" ht="13.2">
      <c r="A36" s="2"/>
      <c r="B36" s="2"/>
      <c r="C36" s="2"/>
      <c r="D36" s="2"/>
      <c r="E36" s="2"/>
      <c r="F36" s="2"/>
      <c r="G36" s="2"/>
      <c r="H36" s="2"/>
      <c r="I36" s="2"/>
    </row>
    <row r="37" spans="1:9" ht="13.2">
      <c r="A37" s="2"/>
      <c r="B37" s="2"/>
      <c r="C37" s="2"/>
      <c r="D37" s="2"/>
      <c r="E37" s="2"/>
      <c r="F37" s="2"/>
      <c r="G37" s="2"/>
      <c r="H37" s="2"/>
      <c r="I37" s="2"/>
    </row>
    <row r="38" spans="1:9" ht="13.2">
      <c r="A38" s="2"/>
      <c r="B38" s="2"/>
      <c r="C38" s="2"/>
      <c r="D38" s="2"/>
      <c r="E38" s="2"/>
      <c r="F38" s="2"/>
      <c r="G38" s="2"/>
      <c r="H38" s="2"/>
      <c r="I38" s="2"/>
    </row>
    <row r="39" spans="1:9" ht="13.2">
      <c r="A39" s="2"/>
      <c r="B39" s="2"/>
      <c r="C39" s="2"/>
      <c r="D39" s="2"/>
      <c r="E39" s="2"/>
      <c r="F39" s="2"/>
      <c r="G39" s="2"/>
      <c r="H39" s="2"/>
      <c r="I39" s="2"/>
    </row>
    <row r="40" spans="1:9" ht="13.2">
      <c r="A40" s="2"/>
      <c r="B40" s="2"/>
      <c r="C40" s="2"/>
      <c r="D40" s="2"/>
      <c r="E40" s="2"/>
      <c r="F40" s="2"/>
      <c r="G40" s="2"/>
      <c r="H40" s="2"/>
      <c r="I40" s="2"/>
    </row>
    <row r="41" spans="1:9" ht="13.2">
      <c r="A41" s="2"/>
      <c r="B41" s="2"/>
      <c r="C41" s="2"/>
      <c r="D41" s="2"/>
      <c r="E41" s="2"/>
      <c r="F41" s="2"/>
      <c r="G41" s="2"/>
      <c r="H41" s="2"/>
      <c r="I41" s="2"/>
    </row>
    <row r="42" spans="1:9" ht="13.2">
      <c r="A42" s="2"/>
      <c r="B42" s="2"/>
      <c r="C42" s="2"/>
      <c r="D42" s="2"/>
      <c r="E42" s="2"/>
      <c r="F42" s="2"/>
      <c r="G42" s="2"/>
      <c r="H42" s="2"/>
      <c r="I42" s="2"/>
    </row>
    <row r="43" spans="1:9" ht="13.2">
      <c r="A43" s="2"/>
      <c r="B43" s="2"/>
      <c r="C43" s="2"/>
      <c r="D43" s="2"/>
      <c r="E43" s="2"/>
      <c r="F43" s="2"/>
      <c r="G43" s="2"/>
      <c r="H43" s="2"/>
      <c r="I43" s="2"/>
    </row>
    <row r="44" spans="1:9" ht="13.2">
      <c r="A44" s="2"/>
      <c r="B44" s="2"/>
      <c r="C44" s="2"/>
      <c r="D44" s="2"/>
      <c r="E44" s="2"/>
      <c r="F44" s="2"/>
      <c r="G44" s="2"/>
      <c r="H44" s="2"/>
      <c r="I44" s="2"/>
    </row>
    <row r="45" spans="1:9" ht="13.2">
      <c r="A45" s="2"/>
      <c r="B45" s="2"/>
      <c r="C45" s="2"/>
      <c r="D45" s="2"/>
      <c r="E45" s="2"/>
      <c r="F45" s="2"/>
      <c r="G45" s="2"/>
      <c r="H45" s="2"/>
      <c r="I45" s="2"/>
    </row>
    <row r="46" spans="1:9" ht="13.2">
      <c r="A46" s="2"/>
      <c r="B46" s="2"/>
      <c r="C46" s="2"/>
      <c r="D46" s="2"/>
      <c r="E46" s="2"/>
      <c r="F46" s="2"/>
      <c r="G46" s="2"/>
      <c r="H46" s="2"/>
      <c r="I46" s="2"/>
    </row>
    <row r="47" spans="1:9" ht="13.2">
      <c r="A47" s="2"/>
      <c r="B47" s="2"/>
      <c r="C47" s="2"/>
      <c r="D47" s="2"/>
      <c r="E47" s="2"/>
      <c r="F47" s="2"/>
      <c r="G47" s="2"/>
      <c r="H47" s="2"/>
      <c r="I47" s="2"/>
    </row>
    <row r="48" spans="1:9" ht="13.2">
      <c r="A48" s="2"/>
      <c r="B48" s="2"/>
      <c r="C48" s="2"/>
      <c r="D48" s="2"/>
      <c r="E48" s="2"/>
      <c r="F48" s="2"/>
      <c r="G48" s="2"/>
      <c r="H48" s="2"/>
      <c r="I48" s="2"/>
    </row>
    <row r="49" spans="1:9" ht="13.2">
      <c r="A49" s="2"/>
      <c r="B49" s="2"/>
      <c r="C49" s="2"/>
      <c r="D49" s="2"/>
      <c r="E49" s="2"/>
      <c r="F49" s="2"/>
      <c r="G49" s="2"/>
      <c r="H49" s="2"/>
      <c r="I49" s="2"/>
    </row>
    <row r="50" spans="1:9" ht="13.2">
      <c r="A50" s="2"/>
      <c r="B50" s="2"/>
      <c r="C50" s="2"/>
      <c r="D50" s="2"/>
      <c r="E50" s="2"/>
      <c r="F50" s="2"/>
      <c r="G50" s="2"/>
      <c r="H50" s="2"/>
      <c r="I50" s="2"/>
    </row>
    <row r="51" spans="1:9" ht="13.2">
      <c r="A51" s="2"/>
      <c r="B51" s="2"/>
      <c r="C51" s="2"/>
      <c r="D51" s="2"/>
      <c r="E51" s="2"/>
      <c r="F51" s="2"/>
      <c r="G51" s="2"/>
      <c r="H51" s="2"/>
      <c r="I51" s="2"/>
    </row>
    <row r="52" spans="1:9" ht="13.2">
      <c r="A52" s="2"/>
      <c r="B52" s="2"/>
      <c r="C52" s="2"/>
      <c r="D52" s="2"/>
      <c r="E52" s="2"/>
      <c r="F52" s="2"/>
      <c r="G52" s="2"/>
      <c r="H52" s="2"/>
      <c r="I52" s="2"/>
    </row>
    <row r="53" spans="1:9" ht="13.2">
      <c r="A53" s="2"/>
      <c r="B53" s="2"/>
      <c r="C53" s="2"/>
      <c r="D53" s="2"/>
      <c r="E53" s="2"/>
      <c r="F53" s="2"/>
      <c r="G53" s="2"/>
      <c r="H53" s="2"/>
      <c r="I53" s="2"/>
    </row>
    <row r="54" spans="1:9" ht="13.2">
      <c r="A54" s="2"/>
      <c r="B54" s="2"/>
      <c r="C54" s="2"/>
      <c r="D54" s="2"/>
      <c r="E54" s="2"/>
      <c r="F54" s="2"/>
      <c r="G54" s="2"/>
      <c r="H54" s="2"/>
      <c r="I54" s="2"/>
    </row>
    <row r="55" spans="1:9" ht="13.2">
      <c r="A55" s="2"/>
      <c r="B55" s="2"/>
      <c r="C55" s="2"/>
      <c r="D55" s="2"/>
      <c r="E55" s="2"/>
      <c r="F55" s="2"/>
      <c r="G55" s="2"/>
      <c r="H55" s="2"/>
      <c r="I55" s="2"/>
    </row>
    <row r="56" spans="1:9" ht="13.2">
      <c r="A56" s="2"/>
      <c r="B56" s="2"/>
      <c r="C56" s="2"/>
      <c r="D56" s="2"/>
      <c r="E56" s="2"/>
      <c r="F56" s="2"/>
      <c r="G56" s="2"/>
      <c r="H56" s="2"/>
      <c r="I56" s="2"/>
    </row>
    <row r="57" spans="1:9" ht="13.2">
      <c r="A57" s="2"/>
      <c r="B57" s="2"/>
      <c r="C57" s="2"/>
      <c r="D57" s="2"/>
      <c r="E57" s="2"/>
      <c r="F57" s="2"/>
      <c r="G57" s="2"/>
      <c r="H57" s="2"/>
      <c r="I57" s="2"/>
    </row>
    <row r="58" spans="1:9" ht="13.2">
      <c r="A58" s="2"/>
      <c r="B58" s="2"/>
      <c r="C58" s="2"/>
      <c r="D58" s="2"/>
      <c r="E58" s="2"/>
      <c r="F58" s="2"/>
      <c r="G58" s="2"/>
      <c r="H58" s="2"/>
      <c r="I58" s="2"/>
    </row>
    <row r="59" spans="1:9" ht="13.2">
      <c r="A59" s="2"/>
      <c r="B59" s="2"/>
      <c r="C59" s="2"/>
      <c r="D59" s="2"/>
      <c r="E59" s="2"/>
      <c r="F59" s="2"/>
      <c r="G59" s="2"/>
      <c r="H59" s="2"/>
      <c r="I59" s="2"/>
    </row>
    <row r="60" spans="1:9" ht="13.2">
      <c r="A60" s="2"/>
      <c r="B60" s="2"/>
      <c r="C60" s="2"/>
      <c r="D60" s="2"/>
      <c r="E60" s="2"/>
      <c r="F60" s="2"/>
      <c r="G60" s="2"/>
      <c r="H60" s="2"/>
      <c r="I60" s="2"/>
    </row>
    <row r="61" spans="1:9" ht="13.2">
      <c r="A61" s="2"/>
      <c r="B61" s="2"/>
      <c r="C61" s="2"/>
      <c r="D61" s="2"/>
      <c r="E61" s="2"/>
      <c r="F61" s="2"/>
      <c r="G61" s="2"/>
      <c r="H61" s="2"/>
      <c r="I61" s="2"/>
    </row>
    <row r="62" spans="1:9" ht="13.2">
      <c r="A62" s="2"/>
      <c r="B62" s="2"/>
      <c r="C62" s="2"/>
      <c r="D62" s="2"/>
      <c r="E62" s="2"/>
      <c r="F62" s="2"/>
      <c r="G62" s="2"/>
      <c r="H62" s="2"/>
      <c r="I62" s="2"/>
    </row>
    <row r="63" spans="1:9" ht="13.2">
      <c r="A63" s="2"/>
      <c r="B63" s="2"/>
      <c r="C63" s="2"/>
      <c r="D63" s="2"/>
      <c r="E63" s="2"/>
      <c r="F63" s="2"/>
      <c r="G63" s="2"/>
      <c r="H63" s="2"/>
      <c r="I63" s="2"/>
    </row>
    <row r="64" spans="1:9" ht="13.2">
      <c r="A64" s="2"/>
      <c r="B64" s="2"/>
      <c r="C64" s="2"/>
      <c r="D64" s="2"/>
      <c r="E64" s="2"/>
      <c r="F64" s="2"/>
      <c r="G64" s="2"/>
      <c r="H64" s="2"/>
      <c r="I64" s="2"/>
    </row>
    <row r="65" spans="1:9" ht="13.2">
      <c r="A65" s="2"/>
      <c r="B65" s="2"/>
      <c r="C65" s="2"/>
      <c r="D65" s="2"/>
      <c r="E65" s="2"/>
      <c r="F65" s="2"/>
      <c r="G65" s="2"/>
      <c r="H65" s="2"/>
      <c r="I65" s="2"/>
    </row>
    <row r="66" spans="1:9" ht="13.2">
      <c r="A66" s="2"/>
      <c r="B66" s="2"/>
      <c r="C66" s="2"/>
      <c r="D66" s="2"/>
      <c r="E66" s="2"/>
      <c r="F66" s="2"/>
      <c r="G66" s="2"/>
      <c r="H66" s="2"/>
      <c r="I66" s="2"/>
    </row>
    <row r="67" spans="1:9" ht="13.2">
      <c r="A67" s="2"/>
      <c r="B67" s="2"/>
      <c r="C67" s="2"/>
      <c r="D67" s="2"/>
      <c r="E67" s="2"/>
      <c r="F67" s="2"/>
      <c r="G67" s="2"/>
      <c r="H67" s="2"/>
      <c r="I67" s="2"/>
    </row>
    <row r="68" spans="1:9" ht="13.2">
      <c r="A68" s="2"/>
      <c r="B68" s="2"/>
      <c r="C68" s="2"/>
      <c r="D68" s="2"/>
      <c r="E68" s="2"/>
      <c r="F68" s="2"/>
      <c r="G68" s="2"/>
      <c r="H68" s="2"/>
      <c r="I68" s="2"/>
    </row>
    <row r="69" spans="1:9" ht="13.2">
      <c r="A69" s="2"/>
      <c r="B69" s="2"/>
      <c r="C69" s="2"/>
      <c r="D69" s="2"/>
      <c r="E69" s="2"/>
      <c r="F69" s="2"/>
      <c r="G69" s="2"/>
      <c r="H69" s="2"/>
      <c r="I69" s="2"/>
    </row>
    <row r="70" spans="1:9" ht="13.2">
      <c r="A70" s="2"/>
      <c r="B70" s="2"/>
      <c r="C70" s="2"/>
      <c r="D70" s="2"/>
      <c r="E70" s="2"/>
      <c r="F70" s="2"/>
      <c r="G70" s="2"/>
      <c r="H70" s="2"/>
      <c r="I70" s="2"/>
    </row>
    <row r="71" spans="1:9" ht="13.2">
      <c r="A71" s="2"/>
      <c r="B71" s="2"/>
      <c r="C71" s="2"/>
      <c r="D71" s="2"/>
      <c r="E71" s="2"/>
      <c r="F71" s="2"/>
      <c r="G71" s="2"/>
      <c r="H71" s="2"/>
      <c r="I71" s="2"/>
    </row>
    <row r="72" spans="1:9" ht="13.2">
      <c r="A72" s="2"/>
      <c r="B72" s="2"/>
      <c r="C72" s="2"/>
      <c r="D72" s="2"/>
      <c r="E72" s="2"/>
      <c r="F72" s="2"/>
      <c r="G72" s="2"/>
      <c r="H72" s="2"/>
      <c r="I72" s="2"/>
    </row>
    <row r="73" spans="1:9" ht="13.2">
      <c r="A73" s="2"/>
      <c r="B73" s="2"/>
      <c r="C73" s="2"/>
      <c r="D73" s="2"/>
      <c r="E73" s="2"/>
      <c r="F73" s="2"/>
      <c r="G73" s="2"/>
      <c r="H73" s="2"/>
      <c r="I73" s="2"/>
    </row>
    <row r="74" spans="1:9" ht="13.2">
      <c r="A74" s="2"/>
      <c r="B74" s="2"/>
      <c r="C74" s="2"/>
      <c r="D74" s="2"/>
      <c r="E74" s="2"/>
      <c r="F74" s="2"/>
      <c r="G74" s="2"/>
      <c r="H74" s="2"/>
      <c r="I74" s="2"/>
    </row>
    <row r="75" spans="1:9" ht="13.2">
      <c r="A75" s="2"/>
      <c r="B75" s="2"/>
      <c r="C75" s="2"/>
      <c r="D75" s="2"/>
      <c r="E75" s="2"/>
      <c r="F75" s="2"/>
      <c r="G75" s="2"/>
      <c r="H75" s="2"/>
      <c r="I75" s="2"/>
    </row>
    <row r="76" spans="1:9" ht="13.2">
      <c r="A76" s="2"/>
      <c r="B76" s="2"/>
      <c r="C76" s="2"/>
      <c r="D76" s="2"/>
      <c r="E76" s="2"/>
      <c r="F76" s="2"/>
      <c r="G76" s="2"/>
      <c r="H76" s="2"/>
      <c r="I76" s="2"/>
    </row>
    <row r="77" spans="1:9" ht="13.2">
      <c r="A77" s="2"/>
      <c r="B77" s="2"/>
      <c r="C77" s="2"/>
      <c r="D77" s="2"/>
      <c r="E77" s="2"/>
      <c r="F77" s="2"/>
      <c r="G77" s="2"/>
      <c r="H77" s="2"/>
      <c r="I77" s="2"/>
    </row>
    <row r="78" spans="1:9" ht="13.2">
      <c r="A78" s="2"/>
      <c r="B78" s="2"/>
      <c r="C78" s="2"/>
      <c r="D78" s="2"/>
      <c r="E78" s="2"/>
      <c r="F78" s="2"/>
      <c r="G78" s="2"/>
      <c r="H78" s="2"/>
      <c r="I78" s="2"/>
    </row>
    <row r="79" spans="1:9" ht="13.2">
      <c r="A79" s="2"/>
      <c r="B79" s="2"/>
      <c r="C79" s="2"/>
      <c r="D79" s="2"/>
      <c r="E79" s="2"/>
      <c r="F79" s="2"/>
      <c r="G79" s="2"/>
      <c r="H79" s="2"/>
      <c r="I79" s="2"/>
    </row>
    <row r="80" spans="1:9" ht="13.2">
      <c r="A80" s="2"/>
      <c r="B80" s="2"/>
      <c r="C80" s="2"/>
      <c r="D80" s="2"/>
      <c r="E80" s="2"/>
      <c r="F80" s="2"/>
      <c r="G80" s="2"/>
      <c r="H80" s="2"/>
      <c r="I80" s="2"/>
    </row>
    <row r="81" spans="1:9" ht="13.2">
      <c r="A81" s="2"/>
      <c r="B81" s="2"/>
      <c r="C81" s="2"/>
      <c r="D81" s="2"/>
      <c r="E81" s="2"/>
      <c r="F81" s="2"/>
      <c r="G81" s="2"/>
      <c r="H81" s="2"/>
      <c r="I81" s="2"/>
    </row>
    <row r="82" spans="1:9" ht="13.2">
      <c r="A82" s="2"/>
      <c r="B82" s="2"/>
      <c r="C82" s="2"/>
      <c r="D82" s="2"/>
      <c r="E82" s="2"/>
      <c r="F82" s="2"/>
      <c r="G82" s="2"/>
      <c r="H82" s="2"/>
      <c r="I82" s="2"/>
    </row>
    <row r="83" spans="1:9" ht="13.2">
      <c r="A83" s="2"/>
      <c r="B83" s="2"/>
      <c r="C83" s="2"/>
      <c r="D83" s="2"/>
      <c r="E83" s="2"/>
      <c r="F83" s="2"/>
      <c r="G83" s="2"/>
      <c r="H83" s="2"/>
      <c r="I83" s="2"/>
    </row>
    <row r="84" spans="1:9" ht="13.2">
      <c r="A84" s="2"/>
      <c r="B84" s="2"/>
      <c r="C84" s="2"/>
      <c r="D84" s="2"/>
      <c r="E84" s="2"/>
      <c r="F84" s="2"/>
      <c r="G84" s="2"/>
      <c r="H84" s="2"/>
      <c r="I84" s="2"/>
    </row>
    <row r="85" spans="1:9" ht="13.2">
      <c r="A85" s="2"/>
      <c r="B85" s="2"/>
      <c r="C85" s="2"/>
      <c r="D85" s="2"/>
      <c r="E85" s="2"/>
      <c r="F85" s="2"/>
      <c r="G85" s="2"/>
      <c r="H85" s="2"/>
      <c r="I85" s="2"/>
    </row>
    <row r="86" spans="1:9" ht="13.2">
      <c r="A86" s="2"/>
      <c r="B86" s="2"/>
      <c r="C86" s="2"/>
      <c r="D86" s="2"/>
      <c r="E86" s="2"/>
      <c r="F86" s="2"/>
      <c r="G86" s="2"/>
      <c r="H86" s="2"/>
      <c r="I86" s="2"/>
    </row>
    <row r="87" spans="1:9" ht="13.2">
      <c r="A87" s="2"/>
      <c r="B87" s="2"/>
      <c r="C87" s="2"/>
      <c r="D87" s="2"/>
      <c r="E87" s="2"/>
      <c r="F87" s="2"/>
      <c r="G87" s="2"/>
      <c r="H87" s="2"/>
      <c r="I87" s="2"/>
    </row>
    <row r="88" spans="1:9" ht="13.2">
      <c r="A88" s="2"/>
      <c r="B88" s="2"/>
      <c r="C88" s="2"/>
      <c r="D88" s="2"/>
      <c r="E88" s="2"/>
      <c r="F88" s="2"/>
      <c r="G88" s="2"/>
      <c r="H88" s="2"/>
      <c r="I88" s="2"/>
    </row>
    <row r="89" spans="1:9" ht="13.2">
      <c r="A89" s="2"/>
      <c r="B89" s="2"/>
      <c r="C89" s="2"/>
      <c r="D89" s="2"/>
      <c r="E89" s="2"/>
      <c r="F89" s="2"/>
      <c r="G89" s="2"/>
      <c r="H89" s="2"/>
      <c r="I89" s="2"/>
    </row>
    <row r="90" spans="1:9" ht="13.2">
      <c r="A90" s="2"/>
      <c r="B90" s="2"/>
      <c r="C90" s="2"/>
      <c r="D90" s="2"/>
      <c r="E90" s="2"/>
      <c r="F90" s="2"/>
      <c r="G90" s="2"/>
      <c r="H90" s="2"/>
      <c r="I90" s="2"/>
    </row>
    <row r="91" spans="1:9" ht="13.2">
      <c r="A91" s="2"/>
      <c r="B91" s="2"/>
      <c r="C91" s="2"/>
      <c r="D91" s="2"/>
      <c r="E91" s="2"/>
      <c r="F91" s="2"/>
      <c r="G91" s="2"/>
      <c r="H91" s="2"/>
      <c r="I91" s="2"/>
    </row>
    <row r="92" spans="1:9" ht="13.2">
      <c r="A92" s="2"/>
      <c r="B92" s="2"/>
      <c r="C92" s="2"/>
      <c r="D92" s="2"/>
      <c r="E92" s="2"/>
      <c r="F92" s="2"/>
      <c r="G92" s="2"/>
      <c r="H92" s="2"/>
      <c r="I92" s="2"/>
    </row>
    <row r="93" spans="1:9" ht="13.2">
      <c r="A93" s="2"/>
      <c r="B93" s="2"/>
      <c r="C93" s="2"/>
      <c r="D93" s="2"/>
      <c r="E93" s="2"/>
      <c r="F93" s="2"/>
      <c r="G93" s="2"/>
      <c r="H93" s="2"/>
      <c r="I93" s="2"/>
    </row>
    <row r="94" spans="1:9" ht="13.2">
      <c r="A94" s="2"/>
      <c r="B94" s="2"/>
      <c r="C94" s="2"/>
      <c r="D94" s="2"/>
      <c r="E94" s="2"/>
      <c r="F94" s="2"/>
      <c r="G94" s="2"/>
      <c r="H94" s="2"/>
      <c r="I94" s="2"/>
    </row>
    <row r="95" spans="1:9" ht="13.2">
      <c r="A95" s="2"/>
      <c r="B95" s="2"/>
      <c r="C95" s="2"/>
      <c r="D95" s="2"/>
      <c r="E95" s="2"/>
      <c r="F95" s="2"/>
      <c r="G95" s="2"/>
      <c r="H95" s="2"/>
      <c r="I95" s="2"/>
    </row>
    <row r="96" spans="1:9" ht="13.2">
      <c r="A96" s="2"/>
      <c r="B96" s="2"/>
      <c r="C96" s="2"/>
      <c r="D96" s="2"/>
      <c r="E96" s="2"/>
      <c r="F96" s="2"/>
      <c r="G96" s="2"/>
      <c r="H96" s="2"/>
      <c r="I96" s="2"/>
    </row>
    <row r="97" spans="1:9" ht="13.2">
      <c r="A97" s="2"/>
      <c r="B97" s="2"/>
      <c r="C97" s="2"/>
      <c r="D97" s="2"/>
      <c r="E97" s="2"/>
      <c r="F97" s="2"/>
      <c r="G97" s="2"/>
      <c r="H97" s="2"/>
      <c r="I97" s="2"/>
    </row>
    <row r="98" spans="1:9" ht="13.2">
      <c r="A98" s="2"/>
      <c r="B98" s="2"/>
      <c r="C98" s="2"/>
      <c r="D98" s="2"/>
      <c r="E98" s="2"/>
      <c r="F98" s="2"/>
      <c r="G98" s="2"/>
      <c r="H98" s="2"/>
      <c r="I98" s="2"/>
    </row>
    <row r="99" spans="1:9" ht="13.2">
      <c r="A99" s="2"/>
      <c r="B99" s="2"/>
      <c r="C99" s="2"/>
      <c r="D99" s="2"/>
      <c r="E99" s="2"/>
      <c r="F99" s="2"/>
      <c r="G99" s="2"/>
      <c r="H99" s="2"/>
      <c r="I99" s="2"/>
    </row>
    <row r="100" spans="1:9" ht="13.2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2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2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2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2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2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2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2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2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2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2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2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2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2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2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2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2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2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2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2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2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2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2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2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2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2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2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2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3.2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3.2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.2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3.2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3.2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3.2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3.2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3.2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3.2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3.2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3.2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3.2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3.2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3.2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3.2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3.2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3.2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3.2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3.2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3.2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3.2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3.2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3.2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3.2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3.2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3.2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3.2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3.2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3.2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3.2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3.2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3.2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3.2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3.2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3.2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3.2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3.2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3.2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3.2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3.2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3.2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3.2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3.2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3.2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3.2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3.2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3.2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3.2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3.2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3.2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3.2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3.2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3.2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3.2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3.2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3.2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3.2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3.2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3.2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3.2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3.2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3.2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3.2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3.2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3.2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3.2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3.2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3.2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3.2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3.2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3.2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3.2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3.2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3.2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3.2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3.2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3.2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3.2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3.2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3.2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3.2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3.2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3.2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3.2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3.2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3.2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3.2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3.2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3.2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3.2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3.2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3.2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3.2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3.2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3.2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3.2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3.2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3.2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3.2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3.2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3.2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3.2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3.2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3.2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3.2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3.2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3.2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3.2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3.2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3.2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3.2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3.2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3.2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3.2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3.2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3.2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3.2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3.2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3.2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3.2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3.2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3.2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3.2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3.2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3.2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3.2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3.2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3.2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3.2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3.2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3.2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3.2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3.2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3.2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3.2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3.2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3.2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3.2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3.2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3.2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3.2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3.2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3.2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3.2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3.2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3.2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3.2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3.2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3.2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3.2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3.2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3.2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3.2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3.2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3.2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3.2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3.2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3.2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3.2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3.2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3.2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3.2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3.2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3.2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3.2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3.2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3.2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3.2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3.2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3.2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3.2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3.2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3.2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3.2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3.2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3.2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3.2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3.2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3.2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3.2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3.2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3.2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3.2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3.2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3.2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3.2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3.2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3.2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3.2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3.2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3.2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3.2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3.2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3.2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3.2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3.2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3.2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3.2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3.2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3.2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3.2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3.2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3.2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3.2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3.2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3.2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3.2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3.2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3.2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3.2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3.2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3.2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3.2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3.2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3.2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3.2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3.2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3.2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3.2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3.2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3.2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3.2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3.2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3.2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3.2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3.2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3.2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3.2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3.2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3.2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3.2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3.2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3.2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3.2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3.2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3.2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3.2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3.2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3.2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3.2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3.2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3.2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3.2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3.2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3.2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3.2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3.2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3.2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3.2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3.2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3.2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3.2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3.2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3.2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3.2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3.2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3.2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3.2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3.2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3.2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3.2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3.2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3.2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3.2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3.2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3.2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3.2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3.2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3.2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3.2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3.2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3.2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3.2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3.2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3.2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3.2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3.2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3.2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3.2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3.2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3.2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3.2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3.2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3.2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3.2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3.2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3.2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3.2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3.2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3.2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3.2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3.2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3.2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3.2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3.2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3.2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3.2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3.2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3.2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3.2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3.2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3.2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3.2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3.2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3.2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3.2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3.2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3.2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3.2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3.2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3.2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3.2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3.2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3.2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3.2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3.2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3.2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3.2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3.2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3.2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3.2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3.2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3.2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3.2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3.2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3.2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3.2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3.2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3.2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3.2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3.2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3.2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3.2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3.2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3.2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3.2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3.2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3.2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3.2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3.2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3.2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3.2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3.2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3.2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3.2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3.2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3.2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3.2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3.2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3.2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3.2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3.2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3.2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3.2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3.2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3.2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3.2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3.2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3.2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3.2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3.2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3.2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3.2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3.2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3.2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3.2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3.2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3.2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3.2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3.2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3.2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3.2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3.2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3.2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3.2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3.2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3.2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3.2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3.2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3.2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3.2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3.2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3.2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3.2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3.2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3.2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3.2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3.2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3.2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3.2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3.2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3.2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3.2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3.2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3.2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3.2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3.2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3.2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3.2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3.2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3.2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3.2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3.2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3.2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3.2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3.2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3.2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3.2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3.2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3.2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3.2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3.2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3.2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3.2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3.2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3.2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3.2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3.2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3.2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3.2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3.2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3.2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3.2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3.2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3.2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3.2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3.2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3.2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3.2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3.2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3.2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3.2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3.2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3.2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3.2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3.2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3.2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3.2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3.2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3.2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3.2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3.2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3.2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3.2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3.2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3.2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3.2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3.2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3.2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3.2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3.2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3.2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3.2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3.2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3.2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3.2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3.2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3.2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3.2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3.2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3.2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3.2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3.2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3.2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3.2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3.2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3.2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3.2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3.2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3.2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3.2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3.2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3.2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3.2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3.2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3.2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3.2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3.2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3.2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3.2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3.2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3.2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3.2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3.2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3.2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3.2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3.2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3.2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3.2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3.2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3.2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3.2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3.2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3.2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3.2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3.2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3.2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3.2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3.2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3.2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3.2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3.2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3.2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3.2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3.2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3.2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3.2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3.2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3.2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3.2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3.2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3.2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3.2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3.2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3.2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3.2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3.2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3.2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3.2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3.2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3.2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3.2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3.2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3.2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3.2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3.2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3.2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3.2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3.2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3.2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3.2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3.2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3.2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3.2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3.2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3.2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3.2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3.2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3.2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3.2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3.2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3.2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3.2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3.2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3.2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3.2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3.2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3.2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3.2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3.2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3.2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3.2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3.2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3.2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3.2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3.2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3.2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3.2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3.2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3.2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3.2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3.2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3.2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3.2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3.2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3.2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3.2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3.2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3.2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3.2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3.2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3.2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3.2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3.2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3.2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3.2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3.2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3.2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3.2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3.2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3.2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3.2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3.2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3.2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3.2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3.2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3.2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3.2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3.2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3.2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3.2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3.2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3.2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3.2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3.2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3.2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3.2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3.2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3.2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3.2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3.2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3.2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3.2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3.2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3.2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3.2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3.2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3.2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3.2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3.2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3.2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3.2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3.2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3.2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3.2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3.2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3.2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3.2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3.2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3.2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3.2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3.2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3.2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3.2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3.2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3.2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3.2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3.2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3.2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3.2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3.2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3.2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3.2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3.2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3.2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3.2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3.2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3.2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3.2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3.2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3.2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3.2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3.2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3.2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3.2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3.2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3.2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3.2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3.2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3.2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3.2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3.2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3.2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3.2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3.2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3.2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3.2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3.2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3.2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3.2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3.2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3.2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3.2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3.2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3.2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3.2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3.2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3.2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3.2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3.2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3.2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3.2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3.2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3.2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3.2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3.2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3.2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3.2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3.2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3.2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3.2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3.2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3.2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3.2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3.2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3.2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3.2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3.2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3.2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3.2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3.2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3.2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3.2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3.2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3.2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3.2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3.2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3.2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3.2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3.2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3.2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3.2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3.2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3.2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3.2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3.2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3.2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3.2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3.2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3.2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3.2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3.2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3.2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3.2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3.2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3.2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3.2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3.2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3.2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3.2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3.2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3.2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3.2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3.2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3.2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3.2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3.2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3.2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3.2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3.2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3.2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3.2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3.2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3.2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3.2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3.2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3.2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3.2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3.2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3.2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3.2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3.2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3.2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3.2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3.2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3.2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3.2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3.2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3.2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3.2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3.2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3.2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3.2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3.2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3.2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3.2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3.2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3.2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3.2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3.2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3.2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3.2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3.2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3.2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3.2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3.2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3.2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3.2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3.2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3.2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3.2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3.2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3.2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3.2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3.2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3.2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3.2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3.2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3.2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3.2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3.2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3.2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3.2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3.2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3.2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3.2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3.2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3.2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3.2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3.2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3.2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3.2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3.2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3.2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3.2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3.2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3.2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3.2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3.2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3.2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3.2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3.2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3.2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3.2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3.2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3.2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3.2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3.2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3.2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3.2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3.2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3.2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3.2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3.2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3.2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3.2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3.2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3.2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3.2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3.2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3.2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3.2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3.2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3.2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3.2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3.2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3.2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3.2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3.2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3.2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3.2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3.2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3.2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3.2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3.2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3.2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3.2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3.2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3.2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3.2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3.2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3.2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3.2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3.2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3.2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3.2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3.2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3.2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3.2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3.2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3.2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3.2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3.2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3.2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3.2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3.2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3.2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3.2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3.2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3.2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3.2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3.2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3.2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3.2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3.2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3.2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3.2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3.2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3.2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3.2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3.2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3.2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3.2">
      <c r="A1000" s="2"/>
      <c r="B1000" s="2"/>
      <c r="C1000" s="2"/>
      <c r="D1000" s="2"/>
      <c r="E1000" s="2"/>
      <c r="F1000" s="2"/>
      <c r="G1000" s="2"/>
      <c r="H1000" s="2"/>
      <c r="I1000" s="2"/>
    </row>
  </sheetData>
  <mergeCells count="1">
    <mergeCell ref="A1:F1"/>
  </mergeCells>
  <phoneticPr fontId="4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workbookViewId="0">
      <selection activeCell="I25" sqref="I25"/>
    </sheetView>
  </sheetViews>
  <sheetFormatPr defaultColWidth="17.33203125" defaultRowHeight="15" customHeight="1"/>
  <cols>
    <col min="1" max="2" width="6" customWidth="1"/>
    <col min="3" max="3" width="28.33203125" customWidth="1"/>
    <col min="4" max="4" width="12.88671875" customWidth="1"/>
    <col min="5" max="5" width="11.44140625" customWidth="1"/>
    <col min="6" max="7" width="9.109375" customWidth="1"/>
    <col min="8" max="8" width="17.5546875" customWidth="1"/>
    <col min="9" max="9" width="11.88671875" customWidth="1"/>
    <col min="10" max="10" width="14.6640625" customWidth="1"/>
    <col min="11" max="11" width="13.6640625" customWidth="1"/>
    <col min="12" max="12" width="15.33203125" customWidth="1"/>
    <col min="13" max="13" width="113.5546875" customWidth="1"/>
    <col min="14" max="21" width="6.44140625" customWidth="1"/>
  </cols>
  <sheetData>
    <row r="1" spans="1:21" ht="12.75" customHeight="1">
      <c r="A1" s="264">
        <v>2016</v>
      </c>
      <c r="B1" s="265"/>
      <c r="C1" s="199" t="s">
        <v>162</v>
      </c>
      <c r="D1" s="200" t="s">
        <v>170</v>
      </c>
      <c r="E1" s="200" t="s">
        <v>171</v>
      </c>
      <c r="F1" s="200" t="s">
        <v>172</v>
      </c>
      <c r="G1" s="201" t="s">
        <v>173</v>
      </c>
      <c r="H1" s="202" t="s">
        <v>45</v>
      </c>
      <c r="I1" s="203" t="s">
        <v>174</v>
      </c>
      <c r="J1" s="204" t="s">
        <v>175</v>
      </c>
      <c r="K1" s="205" t="s">
        <v>176</v>
      </c>
      <c r="L1" s="206" t="s">
        <v>177</v>
      </c>
      <c r="M1" s="200" t="s">
        <v>178</v>
      </c>
      <c r="N1" s="207"/>
      <c r="O1" s="207"/>
      <c r="P1" s="207"/>
      <c r="Q1" s="208"/>
      <c r="R1" s="209"/>
      <c r="S1" s="1"/>
      <c r="T1" s="2"/>
      <c r="U1" s="2"/>
    </row>
    <row r="2" spans="1:21" ht="12.75" customHeight="1">
      <c r="A2" s="210"/>
      <c r="B2" s="211"/>
      <c r="C2" s="210"/>
      <c r="D2" s="210"/>
      <c r="E2" s="210"/>
      <c r="F2" s="212"/>
      <c r="G2" s="213"/>
      <c r="H2" s="214"/>
      <c r="I2" s="215"/>
      <c r="J2" s="216"/>
      <c r="K2" s="215"/>
      <c r="L2" s="217"/>
      <c r="M2" s="218"/>
      <c r="N2" s="19"/>
      <c r="O2" s="19"/>
      <c r="P2" s="19"/>
      <c r="Q2" s="219"/>
      <c r="R2" s="19"/>
      <c r="S2" s="1"/>
      <c r="T2" s="2"/>
      <c r="U2" s="2"/>
    </row>
    <row r="3" spans="1:21" ht="12.75" customHeight="1">
      <c r="A3" s="19"/>
      <c r="B3" s="220">
        <v>1</v>
      </c>
      <c r="C3" s="29" t="s">
        <v>68</v>
      </c>
      <c r="D3" s="221"/>
      <c r="E3" s="221"/>
      <c r="F3" s="219"/>
      <c r="G3" s="222"/>
      <c r="H3" s="266">
        <v>48000</v>
      </c>
      <c r="I3" s="223">
        <v>3</v>
      </c>
      <c r="J3" s="224"/>
      <c r="K3" s="223"/>
      <c r="L3" s="225"/>
      <c r="M3" s="226"/>
      <c r="N3" s="19"/>
      <c r="O3" s="19"/>
      <c r="P3" s="19"/>
      <c r="Q3" s="219"/>
      <c r="R3" s="19"/>
      <c r="S3" s="1"/>
      <c r="T3" s="2"/>
      <c r="U3" s="2"/>
    </row>
    <row r="4" spans="1:21" ht="12.75" customHeight="1">
      <c r="A4" s="19"/>
      <c r="B4" s="220"/>
      <c r="C4" s="19" t="s">
        <v>68</v>
      </c>
      <c r="D4" s="221"/>
      <c r="E4" s="221">
        <v>4000</v>
      </c>
      <c r="F4" s="219">
        <v>0.25</v>
      </c>
      <c r="G4" s="222">
        <v>12</v>
      </c>
      <c r="H4" s="227"/>
      <c r="I4" s="223"/>
      <c r="J4" s="224">
        <v>48000</v>
      </c>
      <c r="K4" s="223">
        <v>3</v>
      </c>
      <c r="L4" s="225">
        <v>37500</v>
      </c>
      <c r="M4" s="226" t="s">
        <v>179</v>
      </c>
      <c r="N4" s="19"/>
      <c r="O4" s="19"/>
      <c r="P4" s="19"/>
      <c r="Q4" s="219"/>
      <c r="R4" s="19"/>
      <c r="S4" s="1"/>
      <c r="T4" s="2"/>
      <c r="U4" s="2"/>
    </row>
    <row r="5" spans="1:21" ht="12.75" customHeight="1">
      <c r="A5" s="19"/>
      <c r="B5" s="220"/>
      <c r="C5" s="19"/>
      <c r="D5" s="221"/>
      <c r="E5" s="221"/>
      <c r="F5" s="219"/>
      <c r="G5" s="222"/>
      <c r="H5" s="227"/>
      <c r="I5" s="223"/>
      <c r="J5" s="224"/>
      <c r="K5" s="223"/>
      <c r="L5" s="225"/>
      <c r="M5" s="226"/>
      <c r="N5" s="19"/>
      <c r="O5" s="19"/>
      <c r="P5" s="19"/>
      <c r="Q5" s="219"/>
      <c r="R5" s="19"/>
      <c r="S5" s="1"/>
      <c r="T5" s="2"/>
      <c r="U5" s="2"/>
    </row>
    <row r="6" spans="1:21" ht="12.75" customHeight="1">
      <c r="A6" s="19"/>
      <c r="B6" s="220">
        <v>2</v>
      </c>
      <c r="C6" s="29" t="s">
        <v>70</v>
      </c>
      <c r="D6" s="221"/>
      <c r="E6" s="221"/>
      <c r="F6" s="219"/>
      <c r="G6" s="222"/>
      <c r="H6" s="227">
        <v>750</v>
      </c>
      <c r="I6" s="223">
        <v>0.25</v>
      </c>
      <c r="J6" s="224"/>
      <c r="K6" s="223"/>
      <c r="L6" s="225"/>
      <c r="M6" s="226"/>
      <c r="N6" s="19"/>
      <c r="O6" s="19"/>
      <c r="P6" s="19"/>
      <c r="Q6" s="219"/>
      <c r="R6" s="19"/>
      <c r="S6" s="1"/>
      <c r="T6" s="2"/>
      <c r="U6" s="2"/>
    </row>
    <row r="7" spans="1:21" ht="12.75" customHeight="1">
      <c r="A7" s="19"/>
      <c r="B7" s="220"/>
      <c r="C7" s="19" t="s">
        <v>180</v>
      </c>
      <c r="D7" s="221">
        <v>3000</v>
      </c>
      <c r="E7" s="221"/>
      <c r="F7" s="219">
        <v>0.1</v>
      </c>
      <c r="G7" s="222">
        <v>1</v>
      </c>
      <c r="H7" s="227"/>
      <c r="I7" s="223"/>
      <c r="J7" s="224">
        <v>750</v>
      </c>
      <c r="K7" s="223">
        <v>0.25</v>
      </c>
      <c r="L7" s="225">
        <v>3125</v>
      </c>
      <c r="M7" s="226" t="s">
        <v>181</v>
      </c>
      <c r="N7" s="19"/>
      <c r="O7" s="19"/>
      <c r="P7" s="19"/>
      <c r="Q7" s="219"/>
      <c r="R7" s="19"/>
      <c r="S7" s="1"/>
      <c r="T7" s="2"/>
      <c r="U7" s="2"/>
    </row>
    <row r="8" spans="1:21" ht="12.75" customHeight="1">
      <c r="A8" s="19"/>
      <c r="B8" s="220"/>
      <c r="C8" s="19"/>
      <c r="D8" s="221"/>
      <c r="E8" s="221"/>
      <c r="F8" s="219"/>
      <c r="G8" s="222"/>
      <c r="H8" s="227"/>
      <c r="I8" s="223"/>
      <c r="J8" s="224"/>
      <c r="K8" s="223"/>
      <c r="L8" s="225"/>
      <c r="M8" s="226"/>
      <c r="N8" s="19"/>
      <c r="O8" s="19"/>
      <c r="P8" s="19"/>
      <c r="Q8" s="219"/>
      <c r="R8" s="19"/>
      <c r="S8" s="1"/>
      <c r="T8" s="2"/>
      <c r="U8" s="2"/>
    </row>
    <row r="9" spans="1:21" ht="12.75" customHeight="1">
      <c r="A9" s="19"/>
      <c r="B9" s="220">
        <v>3</v>
      </c>
      <c r="C9" s="29" t="s">
        <v>73</v>
      </c>
      <c r="D9" s="221"/>
      <c r="E9" s="221"/>
      <c r="F9" s="219"/>
      <c r="G9" s="222"/>
      <c r="H9" s="227">
        <v>2000</v>
      </c>
      <c r="I9" s="223">
        <v>1.4</v>
      </c>
      <c r="J9" s="224"/>
      <c r="K9" s="223"/>
      <c r="L9" s="225"/>
      <c r="M9" s="226"/>
      <c r="N9" s="19"/>
      <c r="O9" s="19"/>
      <c r="P9" s="19"/>
      <c r="Q9" s="219"/>
      <c r="R9" s="19"/>
      <c r="S9" s="1"/>
      <c r="T9" s="2"/>
      <c r="U9" s="2"/>
    </row>
    <row r="10" spans="1:21" ht="12.75" customHeight="1">
      <c r="A10" s="19"/>
      <c r="B10" s="220"/>
      <c r="C10" s="19" t="s">
        <v>182</v>
      </c>
      <c r="D10" s="221"/>
      <c r="E10" s="221"/>
      <c r="F10" s="219">
        <v>0.05</v>
      </c>
      <c r="G10" s="222">
        <v>12</v>
      </c>
      <c r="H10" s="227"/>
      <c r="I10" s="223"/>
      <c r="J10" s="224">
        <v>0</v>
      </c>
      <c r="K10" s="223">
        <v>1</v>
      </c>
      <c r="L10" s="225">
        <v>12500</v>
      </c>
      <c r="M10" s="226" t="s">
        <v>183</v>
      </c>
      <c r="N10" s="19"/>
      <c r="O10" s="19"/>
      <c r="P10" s="19"/>
      <c r="Q10" s="219"/>
      <c r="R10" s="19"/>
      <c r="S10" s="1"/>
      <c r="T10" s="2"/>
      <c r="U10" s="2"/>
    </row>
    <row r="11" spans="1:21" ht="12.75" customHeight="1">
      <c r="A11" s="19"/>
      <c r="B11" s="220"/>
      <c r="C11" s="19" t="s">
        <v>184</v>
      </c>
      <c r="D11" s="221"/>
      <c r="E11" s="221"/>
      <c r="F11" s="219">
        <v>0.1</v>
      </c>
      <c r="G11" s="222">
        <v>4</v>
      </c>
      <c r="H11" s="227"/>
      <c r="I11" s="223"/>
      <c r="J11" s="224">
        <v>0</v>
      </c>
      <c r="K11" s="223">
        <v>0.4</v>
      </c>
      <c r="L11" s="225">
        <v>5000</v>
      </c>
      <c r="M11" s="226" t="s">
        <v>185</v>
      </c>
      <c r="N11" s="19"/>
      <c r="O11" s="19"/>
      <c r="P11" s="19"/>
      <c r="Q11" s="219"/>
      <c r="R11" s="19"/>
      <c r="S11" s="1"/>
      <c r="T11" s="2"/>
      <c r="U11" s="2"/>
    </row>
    <row r="12" spans="1:21" ht="12.75" customHeight="1">
      <c r="A12" s="19"/>
      <c r="B12" s="220"/>
      <c r="C12" s="19" t="s">
        <v>186</v>
      </c>
      <c r="D12" s="221">
        <v>2000</v>
      </c>
      <c r="E12" s="221"/>
      <c r="F12" s="219">
        <v>0</v>
      </c>
      <c r="G12" s="222">
        <v>1</v>
      </c>
      <c r="H12" s="227"/>
      <c r="I12" s="223"/>
      <c r="J12" s="224">
        <v>2000</v>
      </c>
      <c r="K12" s="223">
        <v>0</v>
      </c>
      <c r="L12" s="225"/>
      <c r="M12" s="226"/>
      <c r="N12" s="19"/>
      <c r="O12" s="19"/>
      <c r="P12" s="19"/>
      <c r="Q12" s="219"/>
      <c r="R12" s="19"/>
      <c r="S12" s="1"/>
      <c r="T12" s="2"/>
      <c r="U12" s="2"/>
    </row>
    <row r="13" spans="1:21" ht="12.75" customHeight="1">
      <c r="A13" s="19"/>
      <c r="B13" s="220"/>
      <c r="C13" s="19"/>
      <c r="D13" s="221"/>
      <c r="E13" s="221"/>
      <c r="F13" s="219"/>
      <c r="G13" s="222"/>
      <c r="H13" s="227"/>
      <c r="I13" s="223"/>
      <c r="J13" s="224"/>
      <c r="K13" s="223"/>
      <c r="L13" s="225"/>
      <c r="M13" s="226"/>
      <c r="N13" s="19"/>
      <c r="O13" s="19"/>
      <c r="P13" s="19"/>
      <c r="Q13" s="219"/>
      <c r="R13" s="19"/>
      <c r="S13" s="1"/>
      <c r="T13" s="2"/>
      <c r="U13" s="2"/>
    </row>
    <row r="14" spans="1:21" ht="12.75" customHeight="1">
      <c r="A14" s="19"/>
      <c r="B14" s="220">
        <v>4</v>
      </c>
      <c r="C14" s="29" t="s">
        <v>132</v>
      </c>
      <c r="D14" s="221"/>
      <c r="E14" s="221"/>
      <c r="F14" s="219"/>
      <c r="G14" s="222"/>
      <c r="H14" s="266">
        <v>2500</v>
      </c>
      <c r="I14" s="267">
        <v>0.1</v>
      </c>
      <c r="J14" s="224"/>
      <c r="K14" s="223"/>
      <c r="L14" s="225"/>
      <c r="M14" s="228"/>
      <c r="N14" s="19"/>
      <c r="O14" s="19"/>
      <c r="P14" s="19"/>
      <c r="Q14" s="219"/>
      <c r="R14" s="19"/>
      <c r="S14" s="1"/>
      <c r="T14" s="2"/>
      <c r="U14" s="2"/>
    </row>
    <row r="15" spans="1:21" ht="12.75" customHeight="1">
      <c r="A15" s="19"/>
      <c r="B15" s="220"/>
      <c r="C15" s="19" t="s">
        <v>187</v>
      </c>
      <c r="D15" s="221"/>
      <c r="E15" s="221">
        <v>2000</v>
      </c>
      <c r="F15" s="219">
        <v>0.12</v>
      </c>
      <c r="G15" s="229">
        <v>2</v>
      </c>
      <c r="H15" s="227"/>
      <c r="I15" s="223"/>
      <c r="J15" s="268">
        <v>0</v>
      </c>
      <c r="K15" s="223">
        <v>0</v>
      </c>
      <c r="L15" s="225">
        <v>0</v>
      </c>
      <c r="M15" s="226" t="s">
        <v>188</v>
      </c>
      <c r="N15" s="19"/>
      <c r="O15" s="19"/>
      <c r="P15" s="19"/>
      <c r="Q15" s="219"/>
      <c r="R15" s="19"/>
      <c r="S15" s="1"/>
      <c r="T15" s="2"/>
      <c r="U15" s="2"/>
    </row>
    <row r="16" spans="1:21" ht="12.75" customHeight="1">
      <c r="A16" s="19"/>
      <c r="B16" s="220"/>
      <c r="C16" s="19" t="s">
        <v>189</v>
      </c>
      <c r="D16" s="221">
        <v>2000</v>
      </c>
      <c r="E16" s="221">
        <v>500</v>
      </c>
      <c r="F16" s="219">
        <v>0.25</v>
      </c>
      <c r="G16" s="229">
        <v>1</v>
      </c>
      <c r="H16" s="227"/>
      <c r="I16" s="223"/>
      <c r="J16" s="268">
        <v>0</v>
      </c>
      <c r="K16" s="269">
        <v>0</v>
      </c>
      <c r="L16" s="225">
        <v>0</v>
      </c>
      <c r="M16" s="226" t="s">
        <v>190</v>
      </c>
      <c r="N16" s="19"/>
      <c r="O16" s="19"/>
      <c r="P16" s="19"/>
      <c r="Q16" s="219"/>
      <c r="R16" s="19"/>
      <c r="S16" s="1"/>
      <c r="T16" s="2"/>
      <c r="U16" s="2"/>
    </row>
    <row r="17" spans="1:21" ht="12.75" customHeight="1">
      <c r="A17" s="19"/>
      <c r="B17" s="220"/>
      <c r="C17" s="19" t="s">
        <v>191</v>
      </c>
      <c r="D17" s="221"/>
      <c r="E17" s="221">
        <v>2500</v>
      </c>
      <c r="F17" s="219">
        <v>0.1</v>
      </c>
      <c r="G17" s="229">
        <v>1</v>
      </c>
      <c r="H17" s="227"/>
      <c r="I17" s="223"/>
      <c r="J17" s="224">
        <v>2500</v>
      </c>
      <c r="K17" s="223">
        <v>0.1</v>
      </c>
      <c r="L17" s="225">
        <v>1250</v>
      </c>
      <c r="M17" s="226" t="s">
        <v>192</v>
      </c>
      <c r="N17" s="19"/>
      <c r="O17" s="19"/>
      <c r="P17" s="19"/>
      <c r="Q17" s="219"/>
      <c r="R17" s="19"/>
      <c r="S17" s="1"/>
      <c r="T17" s="2"/>
      <c r="U17" s="2"/>
    </row>
    <row r="18" spans="1:21" ht="12.75" customHeight="1">
      <c r="A18" s="19"/>
      <c r="B18" s="220"/>
      <c r="C18" s="19"/>
      <c r="D18" s="221"/>
      <c r="E18" s="221"/>
      <c r="F18" s="219"/>
      <c r="G18" s="229"/>
      <c r="H18" s="227"/>
      <c r="I18" s="223"/>
      <c r="J18" s="224"/>
      <c r="K18" s="223"/>
      <c r="L18" s="225"/>
      <c r="M18" s="226"/>
      <c r="N18" s="19"/>
      <c r="O18" s="19"/>
      <c r="P18" s="19"/>
      <c r="Q18" s="219"/>
      <c r="R18" s="19"/>
      <c r="S18" s="1"/>
      <c r="T18" s="2"/>
      <c r="U18" s="2"/>
    </row>
    <row r="19" spans="1:21" ht="12.75" customHeight="1">
      <c r="A19" s="19"/>
      <c r="B19" s="220">
        <v>5</v>
      </c>
      <c r="C19" s="29" t="s">
        <v>77</v>
      </c>
      <c r="D19" s="221"/>
      <c r="E19" s="221"/>
      <c r="F19" s="219"/>
      <c r="G19" s="229"/>
      <c r="H19" s="227">
        <v>3050</v>
      </c>
      <c r="I19" s="270">
        <v>0.93</v>
      </c>
      <c r="J19" s="224"/>
      <c r="K19" s="223"/>
      <c r="L19" s="225"/>
      <c r="M19" s="226"/>
      <c r="N19" s="19"/>
      <c r="O19" s="19"/>
      <c r="P19" s="19"/>
      <c r="Q19" s="219"/>
      <c r="R19" s="19"/>
      <c r="S19" s="1"/>
      <c r="T19" s="2"/>
      <c r="U19" s="2"/>
    </row>
    <row r="20" spans="1:21" ht="12.75" customHeight="1">
      <c r="A20" s="19"/>
      <c r="B20" s="220"/>
      <c r="C20" s="19" t="s">
        <v>193</v>
      </c>
      <c r="D20" s="221">
        <v>50</v>
      </c>
      <c r="E20" s="221"/>
      <c r="F20" s="219">
        <v>0.05</v>
      </c>
      <c r="G20" s="229">
        <v>5</v>
      </c>
      <c r="H20" s="227"/>
      <c r="I20" s="223"/>
      <c r="J20" s="224">
        <v>250</v>
      </c>
      <c r="K20" s="270">
        <v>0.1</v>
      </c>
      <c r="L20" s="225">
        <v>1250</v>
      </c>
      <c r="M20" s="226" t="s">
        <v>194</v>
      </c>
      <c r="N20" s="19"/>
      <c r="O20" s="19"/>
      <c r="P20" s="19"/>
      <c r="Q20" s="219"/>
      <c r="R20" s="19"/>
      <c r="S20" s="1"/>
      <c r="T20" s="2"/>
      <c r="U20" s="2"/>
    </row>
    <row r="21" spans="1:21" ht="12.75" customHeight="1">
      <c r="A21" s="19"/>
      <c r="B21" s="220"/>
      <c r="C21" s="19" t="s">
        <v>77</v>
      </c>
      <c r="D21" s="221">
        <v>500</v>
      </c>
      <c r="E21" s="221"/>
      <c r="F21" s="219">
        <v>0.1</v>
      </c>
      <c r="G21" s="229">
        <v>1</v>
      </c>
      <c r="H21" s="227"/>
      <c r="I21" s="223"/>
      <c r="J21" s="224">
        <v>1800</v>
      </c>
      <c r="K21" s="270">
        <v>0.33</v>
      </c>
      <c r="L21" s="225">
        <v>4125</v>
      </c>
      <c r="M21" s="226" t="s">
        <v>195</v>
      </c>
      <c r="N21" s="19"/>
      <c r="O21" s="19"/>
      <c r="P21" s="19"/>
      <c r="Q21" s="219"/>
      <c r="R21" s="19"/>
      <c r="S21" s="1"/>
      <c r="T21" s="2"/>
      <c r="U21" s="2"/>
    </row>
    <row r="22" spans="1:21" ht="12.75" customHeight="1">
      <c r="A22" s="19"/>
      <c r="B22" s="220"/>
      <c r="C22" s="19" t="s">
        <v>196</v>
      </c>
      <c r="D22" s="221">
        <v>1000</v>
      </c>
      <c r="E22" s="221"/>
      <c r="F22" s="219">
        <v>0.5</v>
      </c>
      <c r="G22" s="229">
        <v>1</v>
      </c>
      <c r="H22" s="227"/>
      <c r="I22" s="223"/>
      <c r="J22" s="224">
        <v>1000</v>
      </c>
      <c r="K22" s="270">
        <v>0.5</v>
      </c>
      <c r="L22" s="225">
        <v>6250</v>
      </c>
      <c r="M22" s="226" t="s">
        <v>197</v>
      </c>
      <c r="N22" s="19"/>
      <c r="O22" s="19"/>
      <c r="P22" s="19"/>
      <c r="Q22" s="219"/>
      <c r="R22" s="19"/>
      <c r="S22" s="1"/>
      <c r="T22" s="2"/>
      <c r="U22" s="2"/>
    </row>
    <row r="23" spans="1:21" ht="12.75" customHeight="1">
      <c r="A23" s="19"/>
      <c r="B23" s="220"/>
      <c r="C23" s="19"/>
      <c r="D23" s="221"/>
      <c r="E23" s="221"/>
      <c r="F23" s="219"/>
      <c r="G23" s="229"/>
      <c r="H23" s="227"/>
      <c r="I23" s="223"/>
      <c r="J23" s="224"/>
      <c r="K23" s="223"/>
      <c r="L23" s="225"/>
      <c r="M23" s="226"/>
      <c r="N23" s="19"/>
      <c r="O23" s="19"/>
      <c r="P23" s="19"/>
      <c r="Q23" s="219"/>
      <c r="R23" s="19"/>
      <c r="S23" s="1"/>
      <c r="T23" s="2"/>
      <c r="U23" s="2"/>
    </row>
    <row r="24" spans="1:21" ht="12.75" customHeight="1">
      <c r="A24" s="19"/>
      <c r="B24" s="220">
        <v>6</v>
      </c>
      <c r="C24" s="29" t="s">
        <v>79</v>
      </c>
      <c r="D24" s="221"/>
      <c r="E24" s="221"/>
      <c r="F24" s="219"/>
      <c r="G24" s="229"/>
      <c r="H24" s="227">
        <v>0</v>
      </c>
      <c r="I24" s="223">
        <v>2.6</v>
      </c>
      <c r="J24" s="224"/>
      <c r="K24" s="223"/>
      <c r="L24" s="225"/>
      <c r="M24" s="226"/>
      <c r="N24" s="19"/>
      <c r="O24" s="19"/>
      <c r="P24" s="19"/>
      <c r="Q24" s="219"/>
      <c r="R24" s="19"/>
      <c r="S24" s="1"/>
      <c r="T24" s="2"/>
      <c r="U24" s="2"/>
    </row>
    <row r="25" spans="1:21" ht="12.75" customHeight="1">
      <c r="A25" s="19"/>
      <c r="B25" s="220"/>
      <c r="C25" s="19" t="s">
        <v>198</v>
      </c>
      <c r="D25" s="221"/>
      <c r="E25" s="221"/>
      <c r="F25" s="219">
        <v>0.1</v>
      </c>
      <c r="G25" s="229">
        <v>20</v>
      </c>
      <c r="H25" s="227"/>
      <c r="I25" s="223"/>
      <c r="J25" s="224">
        <v>0</v>
      </c>
      <c r="K25" s="223">
        <v>2</v>
      </c>
      <c r="L25" s="225">
        <v>25000</v>
      </c>
      <c r="M25" s="226" t="s">
        <v>199</v>
      </c>
      <c r="N25" s="19"/>
      <c r="O25" s="19"/>
      <c r="P25" s="19"/>
      <c r="Q25" s="219"/>
      <c r="R25" s="19"/>
      <c r="S25" s="1"/>
      <c r="T25" s="2"/>
      <c r="U25" s="2"/>
    </row>
    <row r="26" spans="1:21" ht="12.75" customHeight="1">
      <c r="A26" s="19"/>
      <c r="B26" s="220"/>
      <c r="C26" s="19" t="s">
        <v>200</v>
      </c>
      <c r="D26" s="221"/>
      <c r="E26" s="221"/>
      <c r="F26" s="219">
        <v>0.05</v>
      </c>
      <c r="G26" s="229">
        <v>12</v>
      </c>
      <c r="H26" s="227"/>
      <c r="I26" s="223"/>
      <c r="J26" s="224">
        <v>0</v>
      </c>
      <c r="K26" s="223">
        <v>0.6</v>
      </c>
      <c r="L26" s="225">
        <v>7500</v>
      </c>
      <c r="M26" s="226" t="s">
        <v>201</v>
      </c>
      <c r="N26" s="19"/>
      <c r="O26" s="19"/>
      <c r="P26" s="19"/>
      <c r="Q26" s="219"/>
      <c r="R26" s="19"/>
      <c r="S26" s="1"/>
      <c r="T26" s="2"/>
      <c r="U26" s="2"/>
    </row>
    <row r="27" spans="1:21" ht="12.75" customHeight="1">
      <c r="A27" s="19"/>
      <c r="B27" s="220"/>
      <c r="C27" s="19"/>
      <c r="D27" s="221"/>
      <c r="E27" s="221"/>
      <c r="F27" s="219"/>
      <c r="G27" s="229"/>
      <c r="H27" s="227"/>
      <c r="I27" s="223"/>
      <c r="J27" s="224"/>
      <c r="K27" s="223"/>
      <c r="L27" s="225"/>
      <c r="M27" s="226"/>
      <c r="N27" s="19"/>
      <c r="O27" s="19"/>
      <c r="P27" s="19"/>
      <c r="Q27" s="219"/>
      <c r="R27" s="19"/>
      <c r="S27" s="1"/>
      <c r="T27" s="2"/>
      <c r="U27" s="2"/>
    </row>
    <row r="28" spans="1:21" ht="12.75" customHeight="1">
      <c r="A28" s="101"/>
      <c r="B28" s="230">
        <v>7</v>
      </c>
      <c r="C28" s="275" t="s">
        <v>203</v>
      </c>
      <c r="D28" s="231"/>
      <c r="E28" s="276"/>
      <c r="F28" s="277"/>
      <c r="G28" s="278"/>
      <c r="H28" s="271">
        <v>0</v>
      </c>
      <c r="I28" s="232">
        <v>0</v>
      </c>
      <c r="J28" s="272">
        <v>0</v>
      </c>
      <c r="K28" s="273">
        <v>0</v>
      </c>
      <c r="L28" s="274">
        <v>0</v>
      </c>
      <c r="M28" s="233"/>
      <c r="N28" s="19"/>
      <c r="O28" s="19"/>
      <c r="P28" s="19"/>
      <c r="Q28" s="219"/>
      <c r="R28" s="19"/>
      <c r="S28" s="1"/>
      <c r="T28" s="2"/>
      <c r="U28" s="2"/>
    </row>
    <row r="29" spans="1:21" ht="12.75" customHeight="1">
      <c r="A29" s="210"/>
      <c r="B29" s="211"/>
      <c r="C29" s="234" t="s">
        <v>202</v>
      </c>
      <c r="D29" s="235"/>
      <c r="E29" s="235"/>
      <c r="F29" s="212"/>
      <c r="G29" s="236"/>
      <c r="H29" s="214">
        <f>SUM(H3:H28)</f>
        <v>56300</v>
      </c>
      <c r="I29" s="237">
        <f t="shared" ref="I29:L29" si="0">SUM(I3:I28)</f>
        <v>8.2799999999999994</v>
      </c>
      <c r="J29" s="216">
        <f t="shared" si="0"/>
        <v>56300</v>
      </c>
      <c r="K29" s="237">
        <f t="shared" si="0"/>
        <v>8.2799999999999994</v>
      </c>
      <c r="L29" s="217">
        <f t="shared" si="0"/>
        <v>103500</v>
      </c>
      <c r="M29" s="238"/>
      <c r="N29" s="19"/>
      <c r="O29" s="19"/>
      <c r="P29" s="19"/>
      <c r="Q29" s="219"/>
      <c r="R29" s="19"/>
      <c r="S29" s="1"/>
      <c r="T29" s="2"/>
      <c r="U29" s="2"/>
    </row>
    <row r="30" spans="1:21" ht="12.75" customHeight="1">
      <c r="A30" s="19"/>
      <c r="B30" s="29"/>
      <c r="C30" s="19"/>
      <c r="D30" s="19"/>
      <c r="E30" s="19"/>
      <c r="F30" s="219"/>
      <c r="G30" s="239"/>
      <c r="H30" s="240"/>
      <c r="I30" s="241"/>
      <c r="J30" s="19"/>
      <c r="K30" s="19"/>
      <c r="L30" s="19"/>
      <c r="M30" s="242"/>
      <c r="N30" s="19"/>
      <c r="O30" s="19"/>
      <c r="P30" s="19"/>
      <c r="Q30" s="219"/>
      <c r="R30" s="19"/>
      <c r="S30" s="1"/>
      <c r="T30" s="2"/>
      <c r="U30" s="2"/>
    </row>
    <row r="31" spans="1:21" ht="12.75" customHeight="1">
      <c r="A31" s="19"/>
      <c r="B31" s="29"/>
      <c r="C31" s="19"/>
      <c r="D31" s="19"/>
      <c r="E31" s="19"/>
      <c r="F31" s="219"/>
      <c r="G31" s="239"/>
      <c r="H31" s="240"/>
      <c r="I31" s="241"/>
      <c r="J31" s="19"/>
      <c r="K31" s="19"/>
      <c r="L31" s="19"/>
      <c r="M31" s="242"/>
      <c r="N31" s="19"/>
      <c r="O31" s="19"/>
      <c r="P31" s="19"/>
      <c r="Q31" s="219"/>
      <c r="R31" s="19"/>
      <c r="S31" s="1"/>
      <c r="T31" s="2"/>
      <c r="U31" s="2"/>
    </row>
    <row r="32" spans="1:21" ht="12.75" customHeight="1">
      <c r="A32" s="19"/>
      <c r="B32" s="29"/>
      <c r="C32" s="19"/>
      <c r="D32" s="19"/>
      <c r="E32" s="19"/>
      <c r="F32" s="219"/>
      <c r="G32" s="239"/>
      <c r="H32" s="240"/>
      <c r="I32" s="241"/>
      <c r="J32" s="19"/>
      <c r="K32" s="19"/>
      <c r="L32" s="19"/>
      <c r="M32" s="242"/>
      <c r="N32" s="19"/>
      <c r="O32" s="19"/>
      <c r="P32" s="19"/>
      <c r="Q32" s="219"/>
      <c r="R32" s="19"/>
      <c r="S32" s="1"/>
      <c r="T32" s="2"/>
      <c r="U32" s="2"/>
    </row>
    <row r="33" spans="1:21" ht="12.75" customHeight="1">
      <c r="A33" s="19"/>
      <c r="B33" s="29"/>
      <c r="C33" s="19"/>
      <c r="D33" s="19"/>
      <c r="E33" s="19"/>
      <c r="F33" s="219"/>
      <c r="G33" s="239"/>
      <c r="H33" s="240"/>
      <c r="I33" s="241"/>
      <c r="J33" s="19"/>
      <c r="K33" s="19"/>
      <c r="L33" s="19"/>
      <c r="M33" s="242"/>
      <c r="N33" s="19"/>
      <c r="O33" s="19"/>
      <c r="P33" s="19"/>
      <c r="Q33" s="219"/>
      <c r="R33" s="19"/>
      <c r="S33" s="1"/>
      <c r="T33" s="2"/>
      <c r="U33" s="2"/>
    </row>
    <row r="34" spans="1:21" ht="12.75" customHeight="1">
      <c r="A34" s="19"/>
      <c r="B34" s="29"/>
      <c r="C34" s="19"/>
      <c r="D34" s="19"/>
      <c r="E34" s="19"/>
      <c r="F34" s="219"/>
      <c r="G34" s="239"/>
      <c r="H34" s="240"/>
      <c r="I34" s="241"/>
      <c r="J34" s="19"/>
      <c r="K34" s="19"/>
      <c r="L34" s="19"/>
      <c r="M34" s="242"/>
      <c r="N34" s="19"/>
      <c r="O34" s="19"/>
      <c r="P34" s="19"/>
      <c r="Q34" s="219"/>
      <c r="R34" s="19"/>
      <c r="S34" s="1"/>
      <c r="T34" s="2"/>
      <c r="U34" s="2"/>
    </row>
    <row r="35" spans="1:21" ht="12.75" customHeight="1">
      <c r="A35" s="19"/>
      <c r="B35" s="29"/>
      <c r="C35" s="19"/>
      <c r="D35" s="19"/>
      <c r="E35" s="19"/>
      <c r="F35" s="219"/>
      <c r="G35" s="239"/>
      <c r="H35" s="240"/>
      <c r="I35" s="241"/>
      <c r="J35" s="19"/>
      <c r="K35" s="19"/>
      <c r="L35" s="19"/>
      <c r="M35" s="242"/>
      <c r="N35" s="19"/>
      <c r="O35" s="19"/>
      <c r="P35" s="19"/>
      <c r="Q35" s="219"/>
      <c r="R35" s="19"/>
      <c r="S35" s="1"/>
      <c r="T35" s="2"/>
      <c r="U35" s="2"/>
    </row>
    <row r="36" spans="1:21" ht="12.75" customHeight="1">
      <c r="A36" s="19"/>
      <c r="B36" s="29"/>
      <c r="C36" s="19"/>
      <c r="D36" s="19"/>
      <c r="E36" s="19"/>
      <c r="F36" s="219"/>
      <c r="G36" s="239"/>
      <c r="H36" s="240"/>
      <c r="I36" s="241"/>
      <c r="J36" s="19"/>
      <c r="K36" s="19"/>
      <c r="L36" s="19"/>
      <c r="M36" s="242"/>
      <c r="N36" s="19"/>
      <c r="O36" s="19"/>
      <c r="P36" s="19"/>
      <c r="Q36" s="219"/>
      <c r="R36" s="19"/>
      <c r="S36" s="1"/>
      <c r="T36" s="2"/>
      <c r="U36" s="2"/>
    </row>
    <row r="37" spans="1:21" ht="12.75" customHeight="1">
      <c r="A37" s="19"/>
      <c r="B37" s="29"/>
      <c r="C37" s="19"/>
      <c r="D37" s="19"/>
      <c r="E37" s="19"/>
      <c r="F37" s="219"/>
      <c r="G37" s="239"/>
      <c r="H37" s="240"/>
      <c r="I37" s="241"/>
      <c r="J37" s="19"/>
      <c r="K37" s="19"/>
      <c r="L37" s="19"/>
      <c r="M37" s="242"/>
      <c r="N37" s="19"/>
      <c r="O37" s="19"/>
      <c r="P37" s="19"/>
      <c r="Q37" s="219"/>
      <c r="R37" s="19"/>
      <c r="S37" s="1"/>
      <c r="T37" s="2"/>
      <c r="U37" s="2"/>
    </row>
    <row r="38" spans="1:21" ht="12.75" customHeight="1">
      <c r="A38" s="19"/>
      <c r="B38" s="29"/>
      <c r="C38" s="19"/>
      <c r="D38" s="19"/>
      <c r="E38" s="19"/>
      <c r="F38" s="219"/>
      <c r="G38" s="239"/>
      <c r="H38" s="240"/>
      <c r="I38" s="241"/>
      <c r="J38" s="19"/>
      <c r="K38" s="19"/>
      <c r="L38" s="19"/>
      <c r="M38" s="242"/>
      <c r="N38" s="19"/>
      <c r="O38" s="19"/>
      <c r="P38" s="19"/>
      <c r="Q38" s="219"/>
      <c r="R38" s="19"/>
      <c r="S38" s="1"/>
      <c r="T38" s="2"/>
      <c r="U38" s="2"/>
    </row>
    <row r="39" spans="1:21" ht="12.75" customHeight="1">
      <c r="A39" s="19"/>
      <c r="B39" s="29"/>
      <c r="C39" s="19"/>
      <c r="D39" s="19"/>
      <c r="E39" s="19"/>
      <c r="F39" s="219"/>
      <c r="G39" s="239"/>
      <c r="H39" s="240"/>
      <c r="I39" s="241"/>
      <c r="J39" s="19"/>
      <c r="K39" s="19"/>
      <c r="L39" s="19"/>
      <c r="M39" s="242"/>
      <c r="N39" s="19"/>
      <c r="O39" s="19"/>
      <c r="P39" s="19"/>
      <c r="Q39" s="219"/>
      <c r="R39" s="19"/>
      <c r="S39" s="1"/>
      <c r="T39" s="2"/>
      <c r="U39" s="2"/>
    </row>
    <row r="40" spans="1:21" ht="12.75" customHeight="1">
      <c r="A40" s="19"/>
      <c r="B40" s="29"/>
      <c r="C40" s="19"/>
      <c r="D40" s="19"/>
      <c r="E40" s="19"/>
      <c r="F40" s="219"/>
      <c r="G40" s="239"/>
      <c r="H40" s="19"/>
      <c r="I40" s="241"/>
      <c r="J40" s="19"/>
      <c r="K40" s="19"/>
      <c r="L40" s="19"/>
      <c r="M40" s="242"/>
      <c r="N40" s="19"/>
      <c r="O40" s="19"/>
      <c r="P40" s="19"/>
      <c r="Q40" s="219"/>
      <c r="R40" s="19"/>
      <c r="S40" s="1"/>
      <c r="T40" s="2"/>
      <c r="U40" s="2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</row>
    <row r="43" spans="1:21" ht="13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3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3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3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3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</sheetData>
  <mergeCells count="1">
    <mergeCell ref="A1:B1"/>
  </mergeCells>
  <phoneticPr fontId="42"/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Commitment sheet</vt:lpstr>
      <vt:lpstr>Formula and Summary</vt:lpstr>
      <vt:lpstr>FY2016 monetary budget</vt:lpstr>
      <vt:lpstr>FY2016 workload support</vt:lpstr>
      <vt:lpstr>2016 MARCOM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ttcmatsuo</dc:creator>
  <cp:lastModifiedBy>ttcmatsuo</cp:lastModifiedBy>
  <cp:lastPrinted>2016-07-14T01:01:27Z</cp:lastPrinted>
  <dcterms:created xsi:type="dcterms:W3CDTF">2016-07-14T00:54:31Z</dcterms:created>
  <dcterms:modified xsi:type="dcterms:W3CDTF">2016-07-14T01:53:22Z</dcterms:modified>
</cp:coreProperties>
</file>